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Analytics\Transactions over £25k\"/>
    </mc:Choice>
  </mc:AlternateContent>
  <xr:revisionPtr revIDLastSave="0" documentId="8_{982119AD-9364-4758-B32D-CBC710E0C93C}" xr6:coauthVersionLast="36" xr6:coauthVersionMax="36" xr10:uidLastSave="{00000000-0000-0000-0000-000000000000}"/>
  <bookViews>
    <workbookView xWindow="0" yWindow="0" windowWidth="28800" windowHeight="11655" firstSheet="4" activeTab="8" xr2:uid="{00000000-000D-0000-FFFF-FFFF00000000}"/>
  </bookViews>
  <sheets>
    <sheet name="Apr - Jun 2017" sheetId="1" state="hidden" r:id="rId1"/>
    <sheet name="Jul - Sep 2017" sheetId="2" state="hidden" r:id="rId2"/>
    <sheet name="Oct - Dec 2017" sheetId="3" state="hidden" r:id="rId3"/>
    <sheet name="Jan - Mar 2018" sheetId="4" state="hidden" r:id="rId4"/>
    <sheet name="Apr - Jun 2018" sheetId="5" r:id="rId5"/>
    <sheet name="Jul- Sep 2018" sheetId="7" r:id="rId6"/>
    <sheet name="Oct - Dec 2018" sheetId="8" r:id="rId7"/>
    <sheet name="Jan - Mar 2019" sheetId="9" r:id="rId8"/>
    <sheet name="Qtrly summary" sheetId="6" r:id="rId9"/>
    <sheet name="Member summry" sheetId="10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3" i="10" l="1"/>
  <c r="K23" i="10"/>
  <c r="J23" i="10"/>
  <c r="I23" i="10"/>
  <c r="H23" i="10"/>
  <c r="G23" i="10"/>
  <c r="M23" i="10"/>
  <c r="L4" i="10"/>
  <c r="K4" i="10"/>
  <c r="J4" i="10"/>
  <c r="I4" i="10"/>
  <c r="H4" i="10"/>
  <c r="G4" i="10"/>
  <c r="L3" i="10"/>
  <c r="K3" i="10"/>
  <c r="J3" i="10"/>
  <c r="I3" i="10"/>
  <c r="H3" i="10"/>
  <c r="G3" i="10"/>
  <c r="M3" i="10" s="1"/>
  <c r="M6" i="10"/>
  <c r="M5" i="10"/>
  <c r="L5" i="10"/>
  <c r="K5" i="10"/>
  <c r="J5" i="10"/>
  <c r="I5" i="10"/>
  <c r="H5" i="10"/>
  <c r="G5" i="10"/>
  <c r="M4" i="10" l="1"/>
  <c r="K21" i="8"/>
  <c r="M20" i="8"/>
  <c r="M21" i="8"/>
  <c r="J21" i="8"/>
  <c r="I21" i="8"/>
  <c r="M19" i="8"/>
  <c r="M18" i="8"/>
  <c r="M16" i="8"/>
  <c r="K15" i="8"/>
  <c r="M15" i="8"/>
  <c r="M14" i="8"/>
  <c r="J32" i="6"/>
  <c r="M83" i="9"/>
  <c r="L83" i="9"/>
  <c r="K83" i="9"/>
  <c r="J83" i="9"/>
  <c r="H83" i="9"/>
  <c r="G83" i="9"/>
  <c r="I83" i="9"/>
  <c r="J6" i="6"/>
  <c r="J15" i="6"/>
  <c r="I24" i="6"/>
  <c r="H24" i="6"/>
  <c r="G24" i="6"/>
  <c r="F24" i="6"/>
  <c r="E24" i="6"/>
  <c r="D24" i="6"/>
  <c r="I15" i="6"/>
  <c r="I16" i="6" s="1"/>
  <c r="H15" i="6"/>
  <c r="H16" i="6" s="1"/>
  <c r="G15" i="6"/>
  <c r="F15" i="6"/>
  <c r="E15" i="6"/>
  <c r="E16" i="6" s="1"/>
  <c r="D15" i="6"/>
  <c r="D16" i="6" s="1"/>
  <c r="G16" i="6"/>
  <c r="F16" i="6"/>
  <c r="I14" i="6"/>
  <c r="H14" i="6"/>
  <c r="G14" i="6"/>
  <c r="F14" i="6"/>
  <c r="E14" i="6"/>
  <c r="D14" i="6"/>
  <c r="I6" i="6"/>
  <c r="H6" i="6"/>
  <c r="G6" i="6"/>
  <c r="F6" i="6"/>
  <c r="E6" i="6"/>
  <c r="D6" i="6"/>
  <c r="I5" i="6"/>
  <c r="H5" i="6"/>
  <c r="G5" i="6"/>
  <c r="F5" i="6"/>
  <c r="E5" i="6"/>
  <c r="D5" i="6"/>
  <c r="D7" i="6" s="1"/>
  <c r="I7" i="6"/>
  <c r="H7" i="6"/>
  <c r="E7" i="6"/>
  <c r="J5" i="6"/>
  <c r="M24" i="9"/>
  <c r="H33" i="6"/>
  <c r="G33" i="6"/>
  <c r="F33" i="6"/>
  <c r="E33" i="6"/>
  <c r="D33" i="6"/>
  <c r="L19" i="10"/>
  <c r="K19" i="10"/>
  <c r="J19" i="10"/>
  <c r="I19" i="10"/>
  <c r="H19" i="10"/>
  <c r="G19" i="10"/>
  <c r="I56" i="5"/>
  <c r="J33" i="6"/>
  <c r="I33" i="6"/>
  <c r="L16" i="10"/>
  <c r="K16" i="10"/>
  <c r="J16" i="10"/>
  <c r="I16" i="10"/>
  <c r="H16" i="10"/>
  <c r="L15" i="10"/>
  <c r="K15" i="10"/>
  <c r="J15" i="10"/>
  <c r="I15" i="10"/>
  <c r="H15" i="10"/>
  <c r="G15" i="10"/>
  <c r="L18" i="10"/>
  <c r="K18" i="10"/>
  <c r="J18" i="10"/>
  <c r="I18" i="10"/>
  <c r="H18" i="10"/>
  <c r="G18" i="10"/>
  <c r="L12" i="10"/>
  <c r="K12" i="10"/>
  <c r="J12" i="10"/>
  <c r="I12" i="10"/>
  <c r="H12" i="10"/>
  <c r="G12" i="10"/>
  <c r="L17" i="10"/>
  <c r="K17" i="10"/>
  <c r="J17" i="10"/>
  <c r="I17" i="10"/>
  <c r="H17" i="10"/>
  <c r="G17" i="10"/>
  <c r="L14" i="10"/>
  <c r="K14" i="10"/>
  <c r="J14" i="10"/>
  <c r="I14" i="10"/>
  <c r="H14" i="10"/>
  <c r="G14" i="10"/>
  <c r="L13" i="10"/>
  <c r="K13" i="10"/>
  <c r="J13" i="10"/>
  <c r="I13" i="10"/>
  <c r="H13" i="10"/>
  <c r="G13" i="10"/>
  <c r="L11" i="10"/>
  <c r="K11" i="10"/>
  <c r="J11" i="10"/>
  <c r="I11" i="10"/>
  <c r="H11" i="10"/>
  <c r="G11" i="10"/>
  <c r="L10" i="10"/>
  <c r="K10" i="10"/>
  <c r="J10" i="10"/>
  <c r="I10" i="10"/>
  <c r="H10" i="10"/>
  <c r="G10" i="10"/>
  <c r="L9" i="10"/>
  <c r="K9" i="10"/>
  <c r="J9" i="10"/>
  <c r="I9" i="10"/>
  <c r="H9" i="10"/>
  <c r="G9" i="10"/>
  <c r="L8" i="10"/>
  <c r="K8" i="10"/>
  <c r="J8" i="10"/>
  <c r="I8" i="10"/>
  <c r="H8" i="10"/>
  <c r="G8" i="10"/>
  <c r="J24" i="6" l="1"/>
  <c r="M18" i="10"/>
  <c r="M16" i="10"/>
  <c r="M15" i="10"/>
  <c r="M19" i="10"/>
  <c r="F7" i="6"/>
  <c r="G7" i="6"/>
  <c r="M12" i="10"/>
  <c r="M14" i="10"/>
  <c r="M17" i="10"/>
  <c r="M13" i="10"/>
  <c r="M11" i="10"/>
  <c r="M10" i="10"/>
  <c r="M9" i="10"/>
  <c r="M8" i="10"/>
  <c r="M43" i="6"/>
  <c r="N43" i="6"/>
  <c r="O43" i="6"/>
  <c r="P43" i="6"/>
  <c r="Q43" i="6"/>
  <c r="R43" i="6"/>
  <c r="S43" i="6"/>
  <c r="N42" i="6"/>
  <c r="N44" i="6" s="1"/>
  <c r="N47" i="6" s="1"/>
  <c r="O42" i="6"/>
  <c r="O44" i="6" s="1"/>
  <c r="O47" i="6" s="1"/>
  <c r="P42" i="6"/>
  <c r="P44" i="6" s="1"/>
  <c r="P47" i="6" s="1"/>
  <c r="Q42" i="6"/>
  <c r="Q44" i="6" s="1"/>
  <c r="Q47" i="6" s="1"/>
  <c r="R42" i="6"/>
  <c r="R44" i="6" s="1"/>
  <c r="R47" i="6" s="1"/>
  <c r="S42" i="6"/>
  <c r="S44" i="6" s="1"/>
  <c r="S47" i="6" s="1"/>
  <c r="M42" i="6"/>
  <c r="M44" i="6" s="1"/>
  <c r="M47" i="6" s="1"/>
  <c r="D43" i="6"/>
  <c r="E43" i="6"/>
  <c r="F43" i="6"/>
  <c r="G43" i="6"/>
  <c r="H43" i="6"/>
  <c r="I43" i="6"/>
  <c r="J43" i="6"/>
  <c r="M61" i="5"/>
  <c r="L61" i="5"/>
  <c r="K61" i="5"/>
  <c r="J61" i="5"/>
  <c r="I61" i="5"/>
  <c r="H61" i="5"/>
  <c r="G61" i="5"/>
  <c r="M61" i="7"/>
  <c r="L61" i="7"/>
  <c r="K61" i="7"/>
  <c r="J61" i="7"/>
  <c r="I61" i="7"/>
  <c r="H61" i="7"/>
  <c r="G61" i="7"/>
  <c r="H76" i="9"/>
  <c r="I76" i="9"/>
  <c r="J76" i="9"/>
  <c r="K76" i="9"/>
  <c r="L76" i="9"/>
  <c r="M76" i="9"/>
  <c r="G76" i="9"/>
  <c r="I42" i="5" l="1"/>
  <c r="M22" i="7"/>
  <c r="L22" i="7"/>
  <c r="K22" i="7"/>
  <c r="J22" i="7"/>
  <c r="I22" i="7"/>
  <c r="I31" i="7"/>
  <c r="I38" i="7"/>
  <c r="K44" i="7"/>
  <c r="J44" i="7"/>
  <c r="I44" i="7"/>
  <c r="K50" i="7"/>
  <c r="J50" i="7"/>
  <c r="I50" i="7"/>
  <c r="I54" i="7"/>
  <c r="J60" i="7"/>
  <c r="I60" i="7"/>
  <c r="M25" i="8"/>
  <c r="I25" i="8"/>
  <c r="M31" i="8"/>
  <c r="L31" i="8"/>
  <c r="K31" i="8"/>
  <c r="J31" i="8"/>
  <c r="I31" i="8"/>
  <c r="M34" i="8"/>
  <c r="L34" i="8"/>
  <c r="K34" i="8"/>
  <c r="J34" i="8"/>
  <c r="I34" i="8"/>
  <c r="L39" i="8"/>
  <c r="K39" i="8"/>
  <c r="J39" i="8"/>
  <c r="I39" i="8"/>
  <c r="I45" i="8"/>
  <c r="J48" i="8"/>
  <c r="I48" i="8"/>
  <c r="K56" i="8"/>
  <c r="J56" i="8"/>
  <c r="I56" i="8"/>
  <c r="H56" i="8"/>
  <c r="L65" i="8"/>
  <c r="J65" i="8"/>
  <c r="I65" i="8"/>
  <c r="L48" i="8"/>
  <c r="K48" i="8"/>
  <c r="L21" i="8"/>
  <c r="L50" i="7"/>
  <c r="L44" i="7"/>
  <c r="K31" i="7"/>
  <c r="J31" i="7"/>
  <c r="L7" i="10" l="1"/>
  <c r="L66" i="8"/>
  <c r="I7" i="10"/>
  <c r="I66" i="8"/>
  <c r="J7" i="10"/>
  <c r="J66" i="8"/>
  <c r="K7" i="10"/>
  <c r="K66" i="8"/>
  <c r="M48" i="7"/>
  <c r="L38" i="7"/>
  <c r="K38" i="7"/>
  <c r="J38" i="7"/>
  <c r="L31" i="7"/>
  <c r="M29" i="7"/>
  <c r="M27" i="7"/>
  <c r="M26" i="7"/>
  <c r="K71" i="9" l="1"/>
  <c r="J71" i="9"/>
  <c r="I71" i="9"/>
  <c r="I65" i="9"/>
  <c r="M62" i="9"/>
  <c r="M60" i="9"/>
  <c r="I60" i="9"/>
  <c r="M46" i="9"/>
  <c r="L46" i="9"/>
  <c r="K46" i="9"/>
  <c r="J46" i="9"/>
  <c r="I46" i="9"/>
  <c r="M40" i="9"/>
  <c r="K40" i="9"/>
  <c r="J40" i="9"/>
  <c r="L40" i="9"/>
  <c r="I40" i="9"/>
  <c r="M35" i="9"/>
  <c r="L35" i="9"/>
  <c r="K35" i="9"/>
  <c r="J35" i="9"/>
  <c r="I35" i="9"/>
  <c r="I29" i="9"/>
  <c r="K24" i="9"/>
  <c r="J24" i="9"/>
  <c r="I24" i="9"/>
  <c r="G24" i="9"/>
  <c r="M7" i="9"/>
  <c r="L7" i="9"/>
  <c r="K7" i="9"/>
  <c r="J7" i="9"/>
  <c r="I7" i="9"/>
  <c r="H7" i="9"/>
  <c r="M6" i="9"/>
  <c r="M5" i="9"/>
  <c r="M4" i="9"/>
  <c r="M3" i="9"/>
  <c r="G7" i="9"/>
  <c r="G71" i="9"/>
  <c r="H71" i="9"/>
  <c r="L71" i="9"/>
  <c r="M58" i="9"/>
  <c r="M57" i="9"/>
  <c r="M55" i="9"/>
  <c r="M54" i="9"/>
  <c r="M44" i="9"/>
  <c r="M39" i="9"/>
  <c r="M27" i="9" l="1"/>
  <c r="J31" i="9"/>
  <c r="I69" i="9"/>
  <c r="K69" i="9"/>
  <c r="I38" i="9"/>
  <c r="J30" i="9"/>
  <c r="M86" i="9"/>
  <c r="M85" i="9"/>
  <c r="L75" i="9"/>
  <c r="K75" i="9"/>
  <c r="J75" i="9"/>
  <c r="I75" i="9"/>
  <c r="H75" i="9"/>
  <c r="G75" i="9"/>
  <c r="M74" i="9"/>
  <c r="M73" i="9"/>
  <c r="M72" i="9"/>
  <c r="M70" i="9"/>
  <c r="M68" i="9"/>
  <c r="M67" i="9"/>
  <c r="M66" i="9"/>
  <c r="L65" i="9"/>
  <c r="K65" i="9"/>
  <c r="J65" i="9"/>
  <c r="H65" i="9"/>
  <c r="G65" i="9"/>
  <c r="M64" i="9"/>
  <c r="M63" i="9"/>
  <c r="L62" i="9"/>
  <c r="K62" i="9"/>
  <c r="J62" i="9"/>
  <c r="I62" i="9"/>
  <c r="H62" i="9"/>
  <c r="G62" i="9"/>
  <c r="M61" i="9"/>
  <c r="L60" i="9"/>
  <c r="K60" i="9"/>
  <c r="J60" i="9"/>
  <c r="H60" i="9"/>
  <c r="G60" i="9"/>
  <c r="M59" i="9"/>
  <c r="M56" i="9"/>
  <c r="M53" i="9"/>
  <c r="M52" i="9"/>
  <c r="M51" i="9"/>
  <c r="M50" i="9"/>
  <c r="M49" i="9"/>
  <c r="M48" i="9"/>
  <c r="M47" i="9"/>
  <c r="H46" i="9"/>
  <c r="G46" i="9"/>
  <c r="M45" i="9"/>
  <c r="M43" i="9"/>
  <c r="M42" i="9"/>
  <c r="M41" i="9"/>
  <c r="H40" i="9"/>
  <c r="G40" i="9"/>
  <c r="M38" i="9"/>
  <c r="M37" i="9"/>
  <c r="M36" i="9"/>
  <c r="H35" i="9"/>
  <c r="G35" i="9"/>
  <c r="M34" i="9"/>
  <c r="M33" i="9"/>
  <c r="M32" i="9"/>
  <c r="M31" i="9"/>
  <c r="M30" i="9"/>
  <c r="L29" i="9"/>
  <c r="K29" i="9"/>
  <c r="J29" i="9"/>
  <c r="H29" i="9"/>
  <c r="G29" i="9"/>
  <c r="M28" i="9"/>
  <c r="M26" i="9"/>
  <c r="M25" i="9"/>
  <c r="L24" i="9"/>
  <c r="H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L9" i="9"/>
  <c r="K9" i="9"/>
  <c r="J9" i="9"/>
  <c r="I9" i="9"/>
  <c r="H9" i="9"/>
  <c r="G9" i="9"/>
  <c r="M8" i="9"/>
  <c r="M9" i="9" s="1"/>
  <c r="L82" i="9" l="1"/>
  <c r="M75" i="9"/>
  <c r="M69" i="9"/>
  <c r="M71" i="9" s="1"/>
  <c r="G82" i="9"/>
  <c r="H82" i="9"/>
  <c r="M29" i="9"/>
  <c r="M65" i="9"/>
  <c r="K82" i="9"/>
  <c r="I82" i="9"/>
  <c r="L84" i="9" l="1"/>
  <c r="L87" i="9" s="1"/>
  <c r="I32" i="6"/>
  <c r="K84" i="9"/>
  <c r="K87" i="9" s="1"/>
  <c r="H32" i="6"/>
  <c r="G84" i="9"/>
  <c r="G87" i="9" s="1"/>
  <c r="D32" i="6"/>
  <c r="H84" i="9"/>
  <c r="H87" i="9" s="1"/>
  <c r="E32" i="6"/>
  <c r="I84" i="9"/>
  <c r="I87" i="9" s="1"/>
  <c r="F32" i="6"/>
  <c r="M82" i="9"/>
  <c r="J82" i="9"/>
  <c r="M30" i="7"/>
  <c r="M28" i="7"/>
  <c r="M49" i="7"/>
  <c r="M25" i="7"/>
  <c r="M24" i="7"/>
  <c r="M43" i="7"/>
  <c r="M30" i="8"/>
  <c r="M29" i="8"/>
  <c r="M28" i="8"/>
  <c r="M38" i="8"/>
  <c r="M55" i="8"/>
  <c r="M27" i="8"/>
  <c r="M53" i="8"/>
  <c r="M52" i="8"/>
  <c r="I34" i="6" l="1"/>
  <c r="J84" i="9"/>
  <c r="J87" i="9" s="1"/>
  <c r="G32" i="6"/>
  <c r="H34" i="6"/>
  <c r="E34" i="6"/>
  <c r="M87" i="9"/>
  <c r="D34" i="6"/>
  <c r="F34" i="6"/>
  <c r="M84" i="9"/>
  <c r="K64" i="8"/>
  <c r="H39" i="8"/>
  <c r="G39" i="8"/>
  <c r="M37" i="8"/>
  <c r="M36" i="8"/>
  <c r="M35" i="8"/>
  <c r="M39" i="8" s="1"/>
  <c r="H34" i="8"/>
  <c r="G34" i="8"/>
  <c r="M33" i="8"/>
  <c r="M32" i="8"/>
  <c r="J25" i="8"/>
  <c r="K25" i="8"/>
  <c r="L25" i="8"/>
  <c r="M24" i="8"/>
  <c r="M76" i="8"/>
  <c r="M75" i="8"/>
  <c r="H65" i="8"/>
  <c r="G65" i="8"/>
  <c r="M63" i="8"/>
  <c r="M62" i="8"/>
  <c r="M61" i="8"/>
  <c r="M60" i="8"/>
  <c r="M59" i="8"/>
  <c r="L58" i="8"/>
  <c r="K58" i="8"/>
  <c r="J58" i="8"/>
  <c r="I58" i="8"/>
  <c r="H58" i="8"/>
  <c r="G58" i="8"/>
  <c r="M57" i="8"/>
  <c r="L56" i="8"/>
  <c r="G56" i="8"/>
  <c r="M54" i="8"/>
  <c r="M51" i="8"/>
  <c r="M50" i="8"/>
  <c r="M49" i="8"/>
  <c r="H48" i="8"/>
  <c r="G48" i="8"/>
  <c r="M47" i="8"/>
  <c r="M46" i="8"/>
  <c r="L45" i="8"/>
  <c r="K45" i="8"/>
  <c r="J45" i="8"/>
  <c r="H45" i="8"/>
  <c r="G45" i="8"/>
  <c r="M44" i="8"/>
  <c r="M43" i="8"/>
  <c r="M42" i="8"/>
  <c r="M41" i="8"/>
  <c r="M40" i="8"/>
  <c r="H31" i="8"/>
  <c r="G31" i="8"/>
  <c r="M26" i="8"/>
  <c r="H25" i="8"/>
  <c r="G25" i="8"/>
  <c r="M23" i="8"/>
  <c r="M22" i="8"/>
  <c r="H21" i="8"/>
  <c r="G21" i="8"/>
  <c r="M17" i="8"/>
  <c r="M13" i="8"/>
  <c r="M66" i="8" s="1"/>
  <c r="M12" i="8"/>
  <c r="L10" i="8"/>
  <c r="K10" i="8"/>
  <c r="J10" i="8"/>
  <c r="I10" i="8"/>
  <c r="H10" i="8"/>
  <c r="G10" i="8"/>
  <c r="M9" i="8"/>
  <c r="M8" i="8"/>
  <c r="L7" i="8"/>
  <c r="K7" i="8"/>
  <c r="J7" i="8"/>
  <c r="I7" i="8"/>
  <c r="H7" i="8"/>
  <c r="G7" i="8"/>
  <c r="M6" i="8"/>
  <c r="M7" i="8" s="1"/>
  <c r="L5" i="8"/>
  <c r="L73" i="8" s="1"/>
  <c r="K5" i="8"/>
  <c r="J5" i="8"/>
  <c r="J73" i="8" s="1"/>
  <c r="I5" i="8"/>
  <c r="I73" i="8" s="1"/>
  <c r="H5" i="8"/>
  <c r="H73" i="8" s="1"/>
  <c r="G5" i="8"/>
  <c r="M4" i="8"/>
  <c r="M3" i="8"/>
  <c r="M42" i="7"/>
  <c r="H7" i="10" l="1"/>
  <c r="H66" i="8"/>
  <c r="G7" i="10"/>
  <c r="G66" i="8"/>
  <c r="G34" i="6"/>
  <c r="J34" i="6"/>
  <c r="J37" i="6" s="1"/>
  <c r="M56" i="8"/>
  <c r="M64" i="8"/>
  <c r="M65" i="8" s="1"/>
  <c r="K65" i="8"/>
  <c r="M10" i="8"/>
  <c r="M5" i="8"/>
  <c r="M58" i="8"/>
  <c r="M45" i="8"/>
  <c r="L72" i="8"/>
  <c r="H72" i="8"/>
  <c r="M48" i="8"/>
  <c r="J72" i="8"/>
  <c r="I72" i="8"/>
  <c r="G73" i="8"/>
  <c r="K73" i="8"/>
  <c r="J16" i="7"/>
  <c r="G5" i="7"/>
  <c r="G68" i="7" s="1"/>
  <c r="G7" i="7"/>
  <c r="G10" i="7"/>
  <c r="G22" i="7"/>
  <c r="G31" i="7"/>
  <c r="G38" i="7"/>
  <c r="G44" i="7"/>
  <c r="G50" i="7"/>
  <c r="G54" i="7"/>
  <c r="G57" i="7"/>
  <c r="G60" i="7"/>
  <c r="H5" i="7"/>
  <c r="H7" i="7"/>
  <c r="H10" i="7"/>
  <c r="H22" i="7"/>
  <c r="H31" i="7"/>
  <c r="H38" i="7"/>
  <c r="H44" i="7"/>
  <c r="H50" i="7"/>
  <c r="H54" i="7"/>
  <c r="H57" i="7"/>
  <c r="H60" i="7"/>
  <c r="I5" i="7"/>
  <c r="I68" i="7" s="1"/>
  <c r="I7" i="7"/>
  <c r="I10" i="7"/>
  <c r="I57" i="7"/>
  <c r="J5" i="7"/>
  <c r="J68" i="7" s="1"/>
  <c r="J7" i="7"/>
  <c r="J10" i="7"/>
  <c r="J54" i="7"/>
  <c r="J57" i="7"/>
  <c r="K5" i="7"/>
  <c r="K68" i="7" s="1"/>
  <c r="K7" i="7"/>
  <c r="K10" i="7"/>
  <c r="K54" i="7"/>
  <c r="K57" i="7"/>
  <c r="K60" i="7"/>
  <c r="L5" i="7"/>
  <c r="L68" i="7" s="1"/>
  <c r="L7" i="7"/>
  <c r="L10" i="7"/>
  <c r="L54" i="7"/>
  <c r="L57" i="7"/>
  <c r="L60" i="7"/>
  <c r="M71" i="7"/>
  <c r="M70" i="7"/>
  <c r="M3" i="7"/>
  <c r="M4" i="7"/>
  <c r="M6" i="7"/>
  <c r="M7" i="7" s="1"/>
  <c r="M8" i="7"/>
  <c r="M9" i="7"/>
  <c r="M12" i="7"/>
  <c r="M13" i="7"/>
  <c r="M14" i="7"/>
  <c r="M15" i="7"/>
  <c r="M16" i="7"/>
  <c r="M17" i="7"/>
  <c r="M18" i="7"/>
  <c r="M19" i="7"/>
  <c r="M20" i="7"/>
  <c r="M21" i="7"/>
  <c r="M23" i="7"/>
  <c r="M31" i="7" s="1"/>
  <c r="M32" i="7"/>
  <c r="M33" i="7"/>
  <c r="M34" i="7"/>
  <c r="M35" i="7"/>
  <c r="M36" i="7"/>
  <c r="M37" i="7"/>
  <c r="M39" i="7"/>
  <c r="M40" i="7"/>
  <c r="M41" i="7"/>
  <c r="M46" i="7"/>
  <c r="M47" i="7"/>
  <c r="M51" i="7"/>
  <c r="M52" i="7"/>
  <c r="M53" i="7"/>
  <c r="M55" i="7"/>
  <c r="M56" i="7"/>
  <c r="M58" i="7"/>
  <c r="M59" i="7"/>
  <c r="M27" i="5"/>
  <c r="M26" i="5"/>
  <c r="M28" i="5"/>
  <c r="J28" i="5"/>
  <c r="K28" i="5"/>
  <c r="L28" i="5"/>
  <c r="I28" i="5"/>
  <c r="I50" i="5"/>
  <c r="K50" i="5"/>
  <c r="M57" i="5"/>
  <c r="J22" i="5"/>
  <c r="M22" i="5" s="1"/>
  <c r="J17" i="5"/>
  <c r="J25" i="5" s="1"/>
  <c r="G5" i="5"/>
  <c r="G7" i="5"/>
  <c r="G10" i="5"/>
  <c r="G25" i="5"/>
  <c r="G28" i="5"/>
  <c r="G30" i="5"/>
  <c r="G40" i="5"/>
  <c r="G42" i="5"/>
  <c r="G67" i="5" s="1"/>
  <c r="G69" i="5" s="1"/>
  <c r="G72" i="5" s="1"/>
  <c r="G45" i="5"/>
  <c r="G47" i="5"/>
  <c r="G56" i="5"/>
  <c r="G60" i="5"/>
  <c r="G68" i="5"/>
  <c r="H5" i="5"/>
  <c r="H68" i="5" s="1"/>
  <c r="H7" i="5"/>
  <c r="H10" i="5"/>
  <c r="H25" i="5"/>
  <c r="H28" i="5"/>
  <c r="H30" i="5"/>
  <c r="H40" i="5"/>
  <c r="H42" i="5"/>
  <c r="H45" i="5"/>
  <c r="H47" i="5"/>
  <c r="H56" i="5"/>
  <c r="H60" i="5"/>
  <c r="I5" i="5"/>
  <c r="I7" i="5"/>
  <c r="I10" i="5"/>
  <c r="I25" i="5"/>
  <c r="I30" i="5"/>
  <c r="I40" i="5"/>
  <c r="I45" i="5"/>
  <c r="I47" i="5"/>
  <c r="I60" i="5"/>
  <c r="I68" i="5"/>
  <c r="J5" i="5"/>
  <c r="J68" i="5" s="1"/>
  <c r="J7" i="5"/>
  <c r="J10" i="5"/>
  <c r="J30" i="5"/>
  <c r="J40" i="5"/>
  <c r="J42" i="5"/>
  <c r="J45" i="5"/>
  <c r="J47" i="5"/>
  <c r="J56" i="5"/>
  <c r="J60" i="5"/>
  <c r="K5" i="5"/>
  <c r="K68" i="5" s="1"/>
  <c r="K7" i="5"/>
  <c r="K10" i="5"/>
  <c r="K25" i="5"/>
  <c r="K30" i="5"/>
  <c r="K40" i="5"/>
  <c r="K42" i="5"/>
  <c r="K45" i="5"/>
  <c r="K47" i="5"/>
  <c r="K56" i="5"/>
  <c r="K60" i="5"/>
  <c r="L5" i="5"/>
  <c r="L68" i="5" s="1"/>
  <c r="L7" i="5"/>
  <c r="L10" i="5"/>
  <c r="L25" i="5"/>
  <c r="L30" i="5"/>
  <c r="L40" i="5"/>
  <c r="L42" i="5"/>
  <c r="L45" i="5"/>
  <c r="L47" i="5"/>
  <c r="L56" i="5"/>
  <c r="L60" i="5"/>
  <c r="M71" i="5"/>
  <c r="M70" i="5"/>
  <c r="M3" i="5"/>
  <c r="M4" i="5"/>
  <c r="M6" i="5"/>
  <c r="M7" i="5" s="1"/>
  <c r="M8" i="5"/>
  <c r="M9" i="5"/>
  <c r="M12" i="5"/>
  <c r="M13" i="5"/>
  <c r="M14" i="5"/>
  <c r="M15" i="5"/>
  <c r="M16" i="5"/>
  <c r="M18" i="5"/>
  <c r="M19" i="5"/>
  <c r="M20" i="5"/>
  <c r="M21" i="5"/>
  <c r="M23" i="5"/>
  <c r="M24" i="5"/>
  <c r="M29" i="5"/>
  <c r="M30" i="5" s="1"/>
  <c r="M31" i="5"/>
  <c r="M32" i="5"/>
  <c r="M33" i="5"/>
  <c r="M34" i="5"/>
  <c r="M35" i="5"/>
  <c r="M36" i="5"/>
  <c r="M37" i="5"/>
  <c r="M38" i="5"/>
  <c r="M39" i="5"/>
  <c r="M41" i="5"/>
  <c r="M42" i="5" s="1"/>
  <c r="M43" i="5"/>
  <c r="M44" i="5"/>
  <c r="M46" i="5"/>
  <c r="M48" i="5"/>
  <c r="M49" i="5"/>
  <c r="M51" i="5"/>
  <c r="M52" i="5"/>
  <c r="M53" i="5"/>
  <c r="M54" i="5"/>
  <c r="M55" i="5"/>
  <c r="M58" i="5"/>
  <c r="M59" i="5"/>
  <c r="G5" i="4"/>
  <c r="G7" i="4"/>
  <c r="G10" i="4"/>
  <c r="G26" i="4"/>
  <c r="G28" i="4"/>
  <c r="G30" i="4"/>
  <c r="G40" i="4"/>
  <c r="G44" i="4"/>
  <c r="G50" i="4"/>
  <c r="G54" i="4"/>
  <c r="G57" i="4"/>
  <c r="G66" i="4"/>
  <c r="G70" i="4"/>
  <c r="G71" i="4"/>
  <c r="H5" i="4"/>
  <c r="H7" i="4"/>
  <c r="H10" i="4"/>
  <c r="H26" i="4"/>
  <c r="H28" i="4"/>
  <c r="H30" i="4"/>
  <c r="H40" i="4"/>
  <c r="H44" i="4"/>
  <c r="H50" i="4"/>
  <c r="H54" i="4"/>
  <c r="H57" i="4"/>
  <c r="H66" i="4"/>
  <c r="H70" i="4"/>
  <c r="H71" i="4"/>
  <c r="I3" i="4"/>
  <c r="I5" i="4"/>
  <c r="I7" i="4"/>
  <c r="I10" i="4"/>
  <c r="I19" i="4"/>
  <c r="I26" i="4"/>
  <c r="I28" i="4"/>
  <c r="I30" i="4"/>
  <c r="I32" i="4"/>
  <c r="I33" i="4"/>
  <c r="I39" i="4"/>
  <c r="I40" i="4"/>
  <c r="I44" i="4"/>
  <c r="I48" i="4"/>
  <c r="I50" i="4"/>
  <c r="I54" i="4"/>
  <c r="I57" i="4"/>
  <c r="I66" i="4"/>
  <c r="I70" i="4"/>
  <c r="I71" i="4"/>
  <c r="J5" i="4"/>
  <c r="J7" i="4"/>
  <c r="J10" i="4"/>
  <c r="J17" i="4"/>
  <c r="J20" i="4"/>
  <c r="J26" i="4"/>
  <c r="J28" i="4"/>
  <c r="J30" i="4"/>
  <c r="J40" i="4"/>
  <c r="J44" i="4"/>
  <c r="J50" i="4"/>
  <c r="J54" i="4"/>
  <c r="J57" i="4"/>
  <c r="J61" i="4"/>
  <c r="J66" i="4"/>
  <c r="J70" i="4"/>
  <c r="J71" i="4"/>
  <c r="K5" i="4"/>
  <c r="K7" i="4"/>
  <c r="K10" i="4"/>
  <c r="K12" i="4"/>
  <c r="K15" i="4"/>
  <c r="K20" i="4"/>
  <c r="K26" i="4"/>
  <c r="K28" i="4"/>
  <c r="K30" i="4"/>
  <c r="K32" i="4"/>
  <c r="K40" i="4"/>
  <c r="K44" i="4"/>
  <c r="K50" i="4"/>
  <c r="K54" i="4"/>
  <c r="K57" i="4"/>
  <c r="K65" i="4"/>
  <c r="K66" i="4"/>
  <c r="K70" i="4"/>
  <c r="K71" i="4"/>
  <c r="L5" i="4"/>
  <c r="L7" i="4"/>
  <c r="L10" i="4"/>
  <c r="L26" i="4"/>
  <c r="L28" i="4"/>
  <c r="L30" i="4"/>
  <c r="L40" i="4"/>
  <c r="L44" i="4"/>
  <c r="L50" i="4"/>
  <c r="L54" i="4"/>
  <c r="L57" i="4"/>
  <c r="L66" i="4"/>
  <c r="L70" i="4"/>
  <c r="L71" i="4"/>
  <c r="G78" i="4"/>
  <c r="M3" i="4"/>
  <c r="M4" i="4"/>
  <c r="M5" i="4"/>
  <c r="M6" i="4"/>
  <c r="M7" i="4"/>
  <c r="M8" i="4"/>
  <c r="M9" i="4"/>
  <c r="M10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G77" i="4"/>
  <c r="G79" i="4"/>
  <c r="G82" i="4"/>
  <c r="H78" i="4"/>
  <c r="H77" i="4"/>
  <c r="H79" i="4"/>
  <c r="H82" i="4"/>
  <c r="I78" i="4"/>
  <c r="I77" i="4"/>
  <c r="I79" i="4"/>
  <c r="I82" i="4"/>
  <c r="J78" i="4"/>
  <c r="J77" i="4"/>
  <c r="J79" i="4"/>
  <c r="J82" i="4"/>
  <c r="K78" i="4"/>
  <c r="K77" i="4"/>
  <c r="K79" i="4"/>
  <c r="K82" i="4"/>
  <c r="L78" i="4"/>
  <c r="L77" i="4"/>
  <c r="L79" i="4"/>
  <c r="L82" i="4"/>
  <c r="M82" i="4"/>
  <c r="M81" i="4"/>
  <c r="M80" i="4"/>
  <c r="M79" i="4"/>
  <c r="M78" i="4"/>
  <c r="M77" i="4"/>
  <c r="M46" i="3"/>
  <c r="M45" i="3"/>
  <c r="H47" i="3"/>
  <c r="I47" i="3"/>
  <c r="J47" i="3"/>
  <c r="K47" i="3"/>
  <c r="L47" i="3"/>
  <c r="G47" i="3"/>
  <c r="M43" i="3"/>
  <c r="H44" i="3"/>
  <c r="I44" i="3"/>
  <c r="J44" i="3"/>
  <c r="K44" i="3"/>
  <c r="L44" i="3"/>
  <c r="G44" i="3"/>
  <c r="H42" i="3"/>
  <c r="I42" i="3"/>
  <c r="J42" i="3"/>
  <c r="K42" i="3"/>
  <c r="L42" i="3"/>
  <c r="G42" i="3"/>
  <c r="M34" i="3"/>
  <c r="M35" i="3"/>
  <c r="M36" i="3"/>
  <c r="M37" i="3"/>
  <c r="M33" i="3"/>
  <c r="H38" i="3"/>
  <c r="I38" i="3"/>
  <c r="J38" i="3"/>
  <c r="K38" i="3"/>
  <c r="L38" i="3"/>
  <c r="G38" i="3"/>
  <c r="M30" i="3"/>
  <c r="M29" i="3"/>
  <c r="H31" i="3"/>
  <c r="I31" i="3"/>
  <c r="J31" i="3"/>
  <c r="K31" i="3"/>
  <c r="L31" i="3"/>
  <c r="G31" i="3"/>
  <c r="M25" i="3"/>
  <c r="M26" i="3"/>
  <c r="M27" i="3"/>
  <c r="H28" i="3"/>
  <c r="J28" i="3"/>
  <c r="K28" i="3"/>
  <c r="L28" i="3"/>
  <c r="G28" i="3"/>
  <c r="M22" i="3"/>
  <c r="M21" i="3"/>
  <c r="H23" i="3"/>
  <c r="I23" i="3"/>
  <c r="J23" i="3"/>
  <c r="K23" i="3"/>
  <c r="L23" i="3"/>
  <c r="G23" i="3"/>
  <c r="M11" i="3"/>
  <c r="M12" i="3"/>
  <c r="M13" i="3"/>
  <c r="M15" i="3"/>
  <c r="M16" i="3"/>
  <c r="M17" i="3"/>
  <c r="M18" i="3"/>
  <c r="H19" i="3"/>
  <c r="J19" i="3"/>
  <c r="L19" i="3"/>
  <c r="G19" i="3"/>
  <c r="M8" i="3"/>
  <c r="H9" i="3"/>
  <c r="I9" i="3"/>
  <c r="J9" i="3"/>
  <c r="K9" i="3"/>
  <c r="L9" i="3"/>
  <c r="G9" i="3"/>
  <c r="M5" i="3"/>
  <c r="H6" i="3"/>
  <c r="I6" i="3"/>
  <c r="L6" i="3"/>
  <c r="I41" i="2"/>
  <c r="I10" i="3"/>
  <c r="M10" i="3"/>
  <c r="K14" i="3"/>
  <c r="K19" i="3"/>
  <c r="I14" i="3"/>
  <c r="I24" i="3"/>
  <c r="M24" i="3"/>
  <c r="G4" i="3"/>
  <c r="G6" i="3"/>
  <c r="M38" i="3"/>
  <c r="M14" i="3"/>
  <c r="M19" i="3"/>
  <c r="M23" i="3"/>
  <c r="I19" i="3"/>
  <c r="M28" i="3"/>
  <c r="M47" i="3"/>
  <c r="M9" i="3"/>
  <c r="M44" i="3"/>
  <c r="I28" i="3"/>
  <c r="M31" i="3"/>
  <c r="M50" i="2"/>
  <c r="M51" i="2"/>
  <c r="H51" i="2"/>
  <c r="I51" i="2"/>
  <c r="J51" i="2"/>
  <c r="K51" i="2"/>
  <c r="L51" i="2"/>
  <c r="G51" i="2"/>
  <c r="M48" i="2"/>
  <c r="H49" i="2"/>
  <c r="I49" i="2"/>
  <c r="J49" i="2"/>
  <c r="K49" i="2"/>
  <c r="L49" i="2"/>
  <c r="G49" i="2"/>
  <c r="M45" i="2"/>
  <c r="H46" i="2"/>
  <c r="I46" i="2"/>
  <c r="J46" i="2"/>
  <c r="K46" i="2"/>
  <c r="L46" i="2"/>
  <c r="G46" i="2"/>
  <c r="M39" i="2"/>
  <c r="M40" i="2"/>
  <c r="M42" i="2"/>
  <c r="M43" i="2"/>
  <c r="M38" i="2"/>
  <c r="H44" i="2"/>
  <c r="J44" i="2"/>
  <c r="K44" i="2"/>
  <c r="L44" i="2"/>
  <c r="G44" i="2"/>
  <c r="M34" i="2"/>
  <c r="M35" i="2"/>
  <c r="M33" i="2"/>
  <c r="H36" i="2"/>
  <c r="I36" i="2"/>
  <c r="J36" i="2"/>
  <c r="K36" i="2"/>
  <c r="L36" i="2"/>
  <c r="G36" i="2"/>
  <c r="M27" i="2"/>
  <c r="M29" i="2"/>
  <c r="M30" i="2"/>
  <c r="M31" i="2"/>
  <c r="M25" i="2"/>
  <c r="H32" i="2"/>
  <c r="J32" i="2"/>
  <c r="K32" i="2"/>
  <c r="L32" i="2"/>
  <c r="G32" i="2"/>
  <c r="M20" i="2"/>
  <c r="M22" i="2"/>
  <c r="M23" i="2"/>
  <c r="H24" i="2"/>
  <c r="K24" i="2"/>
  <c r="L24" i="2"/>
  <c r="G24" i="2"/>
  <c r="M12" i="2"/>
  <c r="M13" i="2"/>
  <c r="M14" i="2"/>
  <c r="M15" i="2"/>
  <c r="M11" i="2"/>
  <c r="H17" i="2"/>
  <c r="I17" i="2"/>
  <c r="L17" i="2"/>
  <c r="G17" i="2"/>
  <c r="M8" i="2"/>
  <c r="M7" i="2"/>
  <c r="H9" i="2"/>
  <c r="I9" i="2"/>
  <c r="J9" i="2"/>
  <c r="K9" i="2"/>
  <c r="L9" i="2"/>
  <c r="G9" i="2"/>
  <c r="I26" i="2"/>
  <c r="M26" i="2" s="1"/>
  <c r="I21" i="2"/>
  <c r="H4" i="2"/>
  <c r="H59" i="2"/>
  <c r="I4" i="2"/>
  <c r="I59" i="2" s="1"/>
  <c r="J4" i="2"/>
  <c r="K4" i="2"/>
  <c r="K52" i="2" s="1"/>
  <c r="K58" i="2" s="1"/>
  <c r="K60" i="2" s="1"/>
  <c r="K63" i="2" s="1"/>
  <c r="L4" i="2"/>
  <c r="L59" i="2" s="1"/>
  <c r="G4" i="2"/>
  <c r="H6" i="2"/>
  <c r="I6" i="2"/>
  <c r="J6" i="2"/>
  <c r="K6" i="2"/>
  <c r="L6" i="2"/>
  <c r="L52" i="2" s="1"/>
  <c r="G6" i="2"/>
  <c r="M5" i="2"/>
  <c r="M6" i="2"/>
  <c r="I28" i="2"/>
  <c r="M28" i="2" s="1"/>
  <c r="M41" i="2"/>
  <c r="M59" i="3"/>
  <c r="M58" i="3"/>
  <c r="M41" i="3"/>
  <c r="M40" i="3"/>
  <c r="M39" i="3"/>
  <c r="K4" i="3"/>
  <c r="K6" i="3"/>
  <c r="J4" i="3"/>
  <c r="J6" i="3"/>
  <c r="L56" i="3"/>
  <c r="K56" i="3"/>
  <c r="I56" i="3"/>
  <c r="H56" i="3"/>
  <c r="G49" i="3"/>
  <c r="M62" i="2"/>
  <c r="M61" i="2"/>
  <c r="J21" i="2"/>
  <c r="J19" i="2"/>
  <c r="M19" i="2" s="1"/>
  <c r="M24" i="2" s="1"/>
  <c r="K16" i="2"/>
  <c r="K17" i="2"/>
  <c r="J16" i="2"/>
  <c r="M16" i="2" s="1"/>
  <c r="M3" i="2"/>
  <c r="M4" i="2" s="1"/>
  <c r="M68" i="1"/>
  <c r="M67" i="1"/>
  <c r="L57" i="1"/>
  <c r="J56" i="1"/>
  <c r="J57" i="1"/>
  <c r="H57" i="1"/>
  <c r="G57" i="1"/>
  <c r="M56" i="1"/>
  <c r="K55" i="1"/>
  <c r="K57" i="1"/>
  <c r="I55" i="1"/>
  <c r="I57" i="1"/>
  <c r="L52" i="1"/>
  <c r="J52" i="1"/>
  <c r="I52" i="1"/>
  <c r="H52" i="1"/>
  <c r="G52" i="1"/>
  <c r="M51" i="1"/>
  <c r="M50" i="1"/>
  <c r="M49" i="1"/>
  <c r="K48" i="1"/>
  <c r="K52" i="1"/>
  <c r="L47" i="1"/>
  <c r="K47" i="1"/>
  <c r="J47" i="1"/>
  <c r="I47" i="1"/>
  <c r="H47" i="1"/>
  <c r="G47" i="1"/>
  <c r="M46" i="1"/>
  <c r="M45" i="1"/>
  <c r="M44" i="1"/>
  <c r="M43" i="1"/>
  <c r="M47" i="1"/>
  <c r="L41" i="1"/>
  <c r="K41" i="1"/>
  <c r="J41" i="1"/>
  <c r="I41" i="1"/>
  <c r="H41" i="1"/>
  <c r="G41" i="1"/>
  <c r="M40" i="1"/>
  <c r="M39" i="1"/>
  <c r="M41" i="1"/>
  <c r="L38" i="1"/>
  <c r="K38" i="1"/>
  <c r="J38" i="1"/>
  <c r="H38" i="1"/>
  <c r="G38" i="1"/>
  <c r="M37" i="1"/>
  <c r="M36" i="1"/>
  <c r="I35" i="1"/>
  <c r="M35" i="1"/>
  <c r="M34" i="1"/>
  <c r="M33" i="1"/>
  <c r="M32" i="1"/>
  <c r="M31" i="1"/>
  <c r="M30" i="1"/>
  <c r="I29" i="1"/>
  <c r="I38" i="1"/>
  <c r="L28" i="1"/>
  <c r="K28" i="1"/>
  <c r="H28" i="1"/>
  <c r="G28" i="1"/>
  <c r="M27" i="1"/>
  <c r="M26" i="1"/>
  <c r="M25" i="1"/>
  <c r="J24" i="1"/>
  <c r="J28" i="1"/>
  <c r="I24" i="1"/>
  <c r="M24" i="1"/>
  <c r="M28" i="1"/>
  <c r="L22" i="1"/>
  <c r="K22" i="1"/>
  <c r="J22" i="1"/>
  <c r="H22" i="1"/>
  <c r="G22" i="1"/>
  <c r="M21" i="1"/>
  <c r="M20" i="1"/>
  <c r="M19" i="1"/>
  <c r="M18" i="1"/>
  <c r="M17" i="1"/>
  <c r="M16" i="1"/>
  <c r="M15" i="1"/>
  <c r="I14" i="1"/>
  <c r="M14" i="1"/>
  <c r="M13" i="1"/>
  <c r="M12" i="1"/>
  <c r="M11" i="1"/>
  <c r="I10" i="1"/>
  <c r="I22" i="1"/>
  <c r="L8" i="1"/>
  <c r="K8" i="1"/>
  <c r="J8" i="1"/>
  <c r="I8" i="1"/>
  <c r="H8" i="1"/>
  <c r="G8" i="1"/>
  <c r="M7" i="1"/>
  <c r="M8" i="1"/>
  <c r="L5" i="1"/>
  <c r="L65" i="1"/>
  <c r="K5" i="1"/>
  <c r="K58" i="1"/>
  <c r="J5" i="1"/>
  <c r="J58" i="1"/>
  <c r="I5" i="1"/>
  <c r="I65" i="1"/>
  <c r="H5" i="1"/>
  <c r="H65" i="1"/>
  <c r="G5" i="1"/>
  <c r="G58" i="1"/>
  <c r="M4" i="1"/>
  <c r="M3" i="1"/>
  <c r="M5" i="1"/>
  <c r="J49" i="3"/>
  <c r="K49" i="3"/>
  <c r="K55" i="3"/>
  <c r="K57" i="3"/>
  <c r="K60" i="3"/>
  <c r="L49" i="3"/>
  <c r="L55" i="3"/>
  <c r="L57" i="3"/>
  <c r="L60" i="3"/>
  <c r="J56" i="3"/>
  <c r="H49" i="3"/>
  <c r="H55" i="3"/>
  <c r="H57" i="3"/>
  <c r="H60" i="3"/>
  <c r="G56" i="3"/>
  <c r="G55" i="3"/>
  <c r="G57" i="3"/>
  <c r="G60" i="3"/>
  <c r="M42" i="3"/>
  <c r="M4" i="3"/>
  <c r="M6" i="3"/>
  <c r="I49" i="3"/>
  <c r="I55" i="3"/>
  <c r="I57" i="3"/>
  <c r="I60" i="3"/>
  <c r="J24" i="2"/>
  <c r="M46" i="2"/>
  <c r="M49" i="2"/>
  <c r="M21" i="2"/>
  <c r="M9" i="2"/>
  <c r="M44" i="2"/>
  <c r="I24" i="2"/>
  <c r="M36" i="2"/>
  <c r="I44" i="2"/>
  <c r="G52" i="2"/>
  <c r="G58" i="2" s="1"/>
  <c r="G60" i="2" s="1"/>
  <c r="H52" i="2"/>
  <c r="H58" i="2" s="1"/>
  <c r="H60" i="2" s="1"/>
  <c r="H63" i="2" s="1"/>
  <c r="J59" i="2"/>
  <c r="G59" i="2"/>
  <c r="M59" i="2" s="1"/>
  <c r="K59" i="2"/>
  <c r="M10" i="1"/>
  <c r="M22" i="1"/>
  <c r="I28" i="1"/>
  <c r="M48" i="1"/>
  <c r="M52" i="1"/>
  <c r="H58" i="1"/>
  <c r="H64" i="1"/>
  <c r="H66" i="1"/>
  <c r="H69" i="1"/>
  <c r="L58" i="1"/>
  <c r="L64" i="1"/>
  <c r="L66" i="1"/>
  <c r="L69" i="1"/>
  <c r="J65" i="1"/>
  <c r="J64" i="1"/>
  <c r="J66" i="1"/>
  <c r="J69" i="1"/>
  <c r="M55" i="1"/>
  <c r="M57" i="1"/>
  <c r="I58" i="1"/>
  <c r="I64" i="1"/>
  <c r="I66" i="1"/>
  <c r="I69" i="1"/>
  <c r="G65" i="1"/>
  <c r="G64" i="1"/>
  <c r="G66" i="1"/>
  <c r="K65" i="1"/>
  <c r="K64" i="1"/>
  <c r="K66" i="1"/>
  <c r="K69" i="1"/>
  <c r="M29" i="1"/>
  <c r="M38" i="1"/>
  <c r="J55" i="3"/>
  <c r="J57" i="3"/>
  <c r="J60" i="3"/>
  <c r="M60" i="3"/>
  <c r="M56" i="3"/>
  <c r="M49" i="3"/>
  <c r="M55" i="3"/>
  <c r="M66" i="1"/>
  <c r="G69" i="1"/>
  <c r="M69" i="1"/>
  <c r="M58" i="1"/>
  <c r="M65" i="1"/>
  <c r="M64" i="1"/>
  <c r="M57" i="3"/>
  <c r="L74" i="8" l="1"/>
  <c r="L77" i="8" s="1"/>
  <c r="I23" i="6"/>
  <c r="I74" i="8"/>
  <c r="I77" i="8" s="1"/>
  <c r="F23" i="6"/>
  <c r="M7" i="10"/>
  <c r="J74" i="8"/>
  <c r="J77" i="8" s="1"/>
  <c r="G23" i="6"/>
  <c r="H74" i="8"/>
  <c r="H77" i="8" s="1"/>
  <c r="E23" i="6"/>
  <c r="M50" i="5"/>
  <c r="M10" i="5"/>
  <c r="M5" i="5"/>
  <c r="J67" i="5"/>
  <c r="J69" i="5" s="1"/>
  <c r="J72" i="5" s="1"/>
  <c r="H67" i="5"/>
  <c r="H69" i="5" s="1"/>
  <c r="H72" i="5" s="1"/>
  <c r="M60" i="5"/>
  <c r="I67" i="5"/>
  <c r="I69" i="5" s="1"/>
  <c r="I72" i="5" s="1"/>
  <c r="M47" i="5"/>
  <c r="K67" i="5"/>
  <c r="K69" i="5" s="1"/>
  <c r="K72" i="5" s="1"/>
  <c r="M68" i="5"/>
  <c r="M56" i="5"/>
  <c r="M45" i="5"/>
  <c r="M17" i="5"/>
  <c r="M25" i="5" s="1"/>
  <c r="L67" i="5"/>
  <c r="L69" i="5" s="1"/>
  <c r="L72" i="5" s="1"/>
  <c r="M40" i="5"/>
  <c r="M38" i="7"/>
  <c r="M50" i="7"/>
  <c r="M60" i="7"/>
  <c r="M44" i="7"/>
  <c r="M5" i="7"/>
  <c r="J67" i="7"/>
  <c r="J69" i="7" s="1"/>
  <c r="J72" i="7" s="1"/>
  <c r="K67" i="7"/>
  <c r="K69" i="7" s="1"/>
  <c r="K72" i="7" s="1"/>
  <c r="M10" i="7"/>
  <c r="L58" i="2"/>
  <c r="L60" i="2" s="1"/>
  <c r="L63" i="2" s="1"/>
  <c r="M32" i="2"/>
  <c r="J17" i="2"/>
  <c r="J52" i="2" s="1"/>
  <c r="J58" i="2" s="1"/>
  <c r="J60" i="2" s="1"/>
  <c r="J63" i="2" s="1"/>
  <c r="I32" i="2"/>
  <c r="I52" i="2" s="1"/>
  <c r="I58" i="2" s="1"/>
  <c r="I60" i="2" s="1"/>
  <c r="I63" i="2" s="1"/>
  <c r="G63" i="2"/>
  <c r="M17" i="2"/>
  <c r="M52" i="2" s="1"/>
  <c r="M58" i="2" s="1"/>
  <c r="K72" i="8"/>
  <c r="G67" i="7"/>
  <c r="G69" i="7" s="1"/>
  <c r="G72" i="7" s="1"/>
  <c r="M73" i="8"/>
  <c r="G72" i="8"/>
  <c r="L67" i="7"/>
  <c r="L69" i="7" s="1"/>
  <c r="L72" i="7" s="1"/>
  <c r="M57" i="7"/>
  <c r="I67" i="7"/>
  <c r="I69" i="7" s="1"/>
  <c r="I72" i="7" s="1"/>
  <c r="M54" i="7"/>
  <c r="H68" i="7"/>
  <c r="I25" i="6" l="1"/>
  <c r="I42" i="6"/>
  <c r="I44" i="6" s="1"/>
  <c r="I47" i="6" s="1"/>
  <c r="E25" i="6"/>
  <c r="E42" i="6"/>
  <c r="E44" i="6" s="1"/>
  <c r="E47" i="6" s="1"/>
  <c r="K74" i="8"/>
  <c r="K77" i="8" s="1"/>
  <c r="H23" i="6"/>
  <c r="F25" i="6"/>
  <c r="F42" i="6"/>
  <c r="F44" i="6" s="1"/>
  <c r="F47" i="6" s="1"/>
  <c r="G25" i="6"/>
  <c r="G42" i="6"/>
  <c r="G44" i="6" s="1"/>
  <c r="G47" i="6" s="1"/>
  <c r="G74" i="8"/>
  <c r="D23" i="6"/>
  <c r="M67" i="5"/>
  <c r="M69" i="5"/>
  <c r="M72" i="5"/>
  <c r="H67" i="7"/>
  <c r="H69" i="7" s="1"/>
  <c r="M69" i="7" s="1"/>
  <c r="M60" i="2"/>
  <c r="M63" i="2"/>
  <c r="M72" i="8"/>
  <c r="H72" i="7"/>
  <c r="M72" i="7" s="1"/>
  <c r="M68" i="7"/>
  <c r="M74" i="8" l="1"/>
  <c r="G77" i="8"/>
  <c r="M77" i="8" s="1"/>
  <c r="D25" i="6"/>
  <c r="J23" i="6"/>
  <c r="J42" i="6" s="1"/>
  <c r="J44" i="6" s="1"/>
  <c r="J47" i="6" s="1"/>
  <c r="D42" i="6"/>
  <c r="D44" i="6" s="1"/>
  <c r="D47" i="6" s="1"/>
  <c r="H25" i="6"/>
  <c r="H42" i="6"/>
  <c r="H44" i="6" s="1"/>
  <c r="H47" i="6" s="1"/>
  <c r="M67" i="7"/>
</calcChain>
</file>

<file path=xl/sharedStrings.xml><?xml version="1.0" encoding="utf-8"?>
<sst xmlns="http://schemas.openxmlformats.org/spreadsheetml/2006/main" count="2213" uniqueCount="293">
  <si>
    <t xml:space="preserve"> MEMBERS &amp; DIRECTORS - EXPENSES CLAIMS / INVOICES RECEIVED BETWEEN 1ST APRIL AND 30TH JUNE 2017</t>
  </si>
  <si>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</si>
  <si>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</si>
  <si>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</si>
  <si>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</si>
  <si>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</si>
  <si>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</si>
  <si>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</si>
  <si>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</si>
  <si>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</si>
  <si>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</si>
  <si>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</si>
  <si>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</si>
  <si>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</si>
  <si>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Peter Thompson</t>
  </si>
  <si>
    <t>Chief Executive</t>
  </si>
  <si>
    <t>Hull IVF Clinic Visit</t>
  </si>
  <si>
    <t>London to Hull</t>
  </si>
  <si>
    <t>Senior Leadership Development Programme</t>
  </si>
  <si>
    <t>London to Leamington Spa</t>
  </si>
  <si>
    <t>Peter Thompson Subtotal</t>
  </si>
  <si>
    <t xml:space="preserve">Nick Jones </t>
  </si>
  <si>
    <t>Juliet Tizzard</t>
  </si>
  <si>
    <t>Director of Strategy and Corporate Affairs</t>
  </si>
  <si>
    <t>Fertility Show</t>
  </si>
  <si>
    <t>London to Manchester</t>
  </si>
  <si>
    <t>Juliet Tizzard Subtotal</t>
  </si>
  <si>
    <t xml:space="preserve">Richard Sydee </t>
  </si>
  <si>
    <t>Sally Cheshire</t>
  </si>
  <si>
    <t>Chair</t>
  </si>
  <si>
    <t>Chair Day; Progress Educational Trust Event</t>
  </si>
  <si>
    <t>Stockport to London</t>
  </si>
  <si>
    <t>Trafford CCG Meeting</t>
  </si>
  <si>
    <t>Manchester</t>
  </si>
  <si>
    <t>Cheadle Hulme to Manchester</t>
  </si>
  <si>
    <t>Chair Day; Frances Crick Institute Visit</t>
  </si>
  <si>
    <t>Chair Day</t>
  </si>
  <si>
    <t>Authority Meeting</t>
  </si>
  <si>
    <t xml:space="preserve">HFEA Conference &amp; Authority Meeting </t>
  </si>
  <si>
    <t>Sally Cheshire Subtotal</t>
  </si>
  <si>
    <t>Kate Brian</t>
  </si>
  <si>
    <t>Member</t>
  </si>
  <si>
    <t>Anita Bharucha</t>
  </si>
  <si>
    <t>13/06/2017; 18/05/2017</t>
  </si>
  <si>
    <t>Licence Committee; Authority Meeting</t>
  </si>
  <si>
    <t>04/05/2017; 10/05/2017</t>
  </si>
  <si>
    <t>Oxford Parkway to London</t>
  </si>
  <si>
    <t>AGC Meeting</t>
  </si>
  <si>
    <t>Didcot Parkway to London</t>
  </si>
  <si>
    <t>Renumeration Committee</t>
  </si>
  <si>
    <t>Anita Bharucha Subtotal</t>
  </si>
  <si>
    <t>Margaret Gilmore</t>
  </si>
  <si>
    <t>13/06/2017; 08/05/2017</t>
  </si>
  <si>
    <t>28-29/03/2017</t>
  </si>
  <si>
    <t>Midgham to London</t>
  </si>
  <si>
    <t>SAC Meetings</t>
  </si>
  <si>
    <t>HFEA Conference</t>
  </si>
  <si>
    <t>SAC Meeting</t>
  </si>
  <si>
    <t>Authority Meeting; SAC Meeting</t>
  </si>
  <si>
    <t>28&amp;29/06/2017</t>
  </si>
  <si>
    <t>Margaret Gilmore Subtotal</t>
  </si>
  <si>
    <t>Andy Greenfield</t>
  </si>
  <si>
    <t xml:space="preserve">Licence Committee </t>
  </si>
  <si>
    <t>SCAAC</t>
  </si>
  <si>
    <t>Andy Greenfield Subtotal</t>
  </si>
  <si>
    <t xml:space="preserve">Yacoub Khalaf </t>
  </si>
  <si>
    <t>Anne Lampe</t>
  </si>
  <si>
    <t>Edingburgh to London</t>
  </si>
  <si>
    <t>SAC - Teleconference</t>
  </si>
  <si>
    <t>NA</t>
  </si>
  <si>
    <t>13/06/2017; 01/06/2017</t>
  </si>
  <si>
    <t>Anne Lampe Subtotal</t>
  </si>
  <si>
    <t>Lee Rayfield</t>
  </si>
  <si>
    <t xml:space="preserve">HFEA Conference &amp; Authority Meeting  </t>
  </si>
  <si>
    <t>15&amp;16/03/2017</t>
  </si>
  <si>
    <t>Swindon to London</t>
  </si>
  <si>
    <t>Licence Committee</t>
  </si>
  <si>
    <t>11/05/2017; 30/06/2017</t>
  </si>
  <si>
    <t>Lee Rayfield Subtotal</t>
  </si>
  <si>
    <t xml:space="preserve">Anthony Rutherford </t>
  </si>
  <si>
    <t xml:space="preserve">Ruth Wilde </t>
  </si>
  <si>
    <t>Bobbie Farsides</t>
  </si>
  <si>
    <t>11/05/2017; 05/04/2017</t>
  </si>
  <si>
    <t>Brighton to London</t>
  </si>
  <si>
    <t>SAC Meetings; Authority Meeting</t>
  </si>
  <si>
    <t>30/03/2017; 27/04/2017; 10/05/2017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</si>
  <si>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</si>
  <si>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</si>
  <si>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</si>
  <si>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</si>
  <si>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</si>
  <si>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</si>
  <si>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</si>
  <si>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</si>
  <si>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Other Staff</t>
  </si>
  <si>
    <t>N/A</t>
  </si>
  <si>
    <t>External Advisors:</t>
  </si>
  <si>
    <t>GRAND TOTALS</t>
  </si>
  <si>
    <t xml:space="preserve"> MEMBERS &amp; DIRECTORS - EXPENSES CLAIMS / INVOICES RECEIVED BETWEEN 1ST JULY AND 30TH SEPTEMBER 2017</t>
  </si>
  <si>
    <t>Healthcare Leaders</t>
  </si>
  <si>
    <t>London to Cumberland</t>
  </si>
  <si>
    <t>BMA Meeting</t>
  </si>
  <si>
    <t>AGC Interviews</t>
  </si>
  <si>
    <t>HEE Chairs Meeting; Appraisal with Sir Keith</t>
  </si>
  <si>
    <t>Committee Planner 2018</t>
  </si>
  <si>
    <t>Authority</t>
  </si>
  <si>
    <t>AGC; Authority</t>
  </si>
  <si>
    <t>13&amp;18/06/2017</t>
  </si>
  <si>
    <t>Oxford to London</t>
  </si>
  <si>
    <t>Licence Committee; Authority; Annual Conference</t>
  </si>
  <si>
    <t>9&amp;15-16/03/2017</t>
  </si>
  <si>
    <t>Licence Committee; AGC</t>
  </si>
  <si>
    <t>7&amp;13/09/2017</t>
  </si>
  <si>
    <t>13&amp;27/07/2017</t>
  </si>
  <si>
    <t>Didcot to London</t>
  </si>
  <si>
    <t>Edinburgh to London</t>
  </si>
  <si>
    <t>SAC Teleconference</t>
  </si>
  <si>
    <t>Ruth Wilde</t>
  </si>
  <si>
    <t>Teleconference: SAC; Licence Committee</t>
  </si>
  <si>
    <t>23/02/2017; 27/04/2017; 25/05/2017; 09/03/2017; 04/05/2017</t>
  </si>
  <si>
    <t>Ruth Wilde Subtotal</t>
  </si>
  <si>
    <t>SAC; Authority</t>
  </si>
  <si>
    <t>25/05/2017; 28/06/2017</t>
  </si>
  <si>
    <t xml:space="preserve"> MEMBERS &amp; DIRECTORS - EXPENSES CLAIMS / INVOICES RECEIVED BETWEEN 1ST OCTOBER AND 31ST DECEMBER 2017</t>
  </si>
  <si>
    <t>Nick Jones</t>
  </si>
  <si>
    <t>ARTHIQS</t>
  </si>
  <si>
    <t>08-10/10/2017</t>
  </si>
  <si>
    <t>London to Lisbon</t>
  </si>
  <si>
    <t>AGC</t>
  </si>
  <si>
    <t>P Dunne Meeting</t>
  </si>
  <si>
    <t>EBMB Centre; HCL Programme</t>
  </si>
  <si>
    <t>21&amp;22/09/2017</t>
  </si>
  <si>
    <t>PGD Workshop</t>
  </si>
  <si>
    <t>03/10/2017; 15/11/2017</t>
  </si>
  <si>
    <t xml:space="preserve">London   </t>
  </si>
  <si>
    <t>Research &amp; Clinical Innovation Workshop</t>
  </si>
  <si>
    <t>Anthony Rutherford</t>
  </si>
  <si>
    <t xml:space="preserve">SAC   </t>
  </si>
  <si>
    <t>29/06/2017; 27/07/2017; 31/08/2017; 28/09/2017; 13/07/2017; 07/09/2017</t>
  </si>
  <si>
    <t xml:space="preserve">Authority, FD Lecture; ESP Meeting </t>
  </si>
  <si>
    <t>15/11/2017; 20/11/2017; 24/11/2017</t>
  </si>
  <si>
    <t>Grateley to London</t>
  </si>
  <si>
    <t>18-20/06/2017</t>
  </si>
  <si>
    <t>13/07/2017; 19/07/2017</t>
  </si>
  <si>
    <t>14/08/2017; 29/09/2017</t>
  </si>
  <si>
    <t>27-28/09/2017</t>
  </si>
  <si>
    <t>London to Shrewsbury</t>
  </si>
  <si>
    <t>Nick Jones Subtotal</t>
  </si>
  <si>
    <t>London to Leeds</t>
  </si>
  <si>
    <t>08/09/2017; 14/09/2017</t>
  </si>
  <si>
    <t>08/09/2017; 14/08/2017</t>
  </si>
  <si>
    <t>24-26/10/2017</t>
  </si>
  <si>
    <t>10/10/2017; 01/11/2017</t>
  </si>
  <si>
    <t>10/10/2017; 25/10/2017</t>
  </si>
  <si>
    <t>13-14/09/2017</t>
  </si>
  <si>
    <t>23-24/10/2017</t>
  </si>
  <si>
    <t>09/11/2017; 16/11/2017</t>
  </si>
  <si>
    <t>09/11/2017; 10/10/2017; 03/10/2017</t>
  </si>
  <si>
    <t>18/12/2017; 29/11/2017</t>
  </si>
  <si>
    <t>18/12/2017; 19/12/2017</t>
  </si>
  <si>
    <t>Richard Sydee Subtotal</t>
  </si>
  <si>
    <t>Richard Sydee</t>
  </si>
  <si>
    <t>London to Liverpool</t>
  </si>
  <si>
    <t xml:space="preserve">Juliet Tizzard </t>
  </si>
  <si>
    <t>Anthony Rutherford Subtotal</t>
  </si>
  <si>
    <t>Director of Compliance &amp; Information</t>
  </si>
  <si>
    <t>Director of Strategy &amp; Corporate Affairs</t>
  </si>
  <si>
    <t>Director of Finance &amp; Resources</t>
  </si>
  <si>
    <t>Meeting at Shrewsbury FT</t>
  </si>
  <si>
    <t>Northern Fertility Nurses Forum</t>
  </si>
  <si>
    <t>Visit to Birmingham Women's</t>
  </si>
  <si>
    <t>London to Birmingham</t>
  </si>
  <si>
    <t>BFS</t>
  </si>
  <si>
    <t>DH FD Forum</t>
  </si>
  <si>
    <t>SAC</t>
  </si>
  <si>
    <t>Leeds to London</t>
  </si>
  <si>
    <t>Speakers Lecture</t>
  </si>
  <si>
    <t xml:space="preserve"> MEMBERS &amp; DIRECTORS - EXPENSES CLAIMS / INVOICES RECEIVED BETWEEN 1ST JANUARY AND 31ST MARCH 2018</t>
  </si>
  <si>
    <t>Clare Ettinghausen</t>
  </si>
  <si>
    <t>PET Conference</t>
  </si>
  <si>
    <t>Huxley Summit</t>
  </si>
  <si>
    <t>Frank Dobson Lecture</t>
  </si>
  <si>
    <t>Director of Strategy Interviews</t>
  </si>
  <si>
    <t>Office Day</t>
  </si>
  <si>
    <t>BFS Conference</t>
  </si>
  <si>
    <t xml:space="preserve">Authority </t>
  </si>
  <si>
    <t>Authority; HFEA Conference</t>
  </si>
  <si>
    <t>14&amp;15/03/2018</t>
  </si>
  <si>
    <t>Durham to London</t>
  </si>
  <si>
    <t>Emotional Support Project Meeting</t>
  </si>
  <si>
    <t>Code of Practice</t>
  </si>
  <si>
    <t>Grateley to Manchester</t>
  </si>
  <si>
    <t>Bobbie Farsides Subtotal</t>
  </si>
  <si>
    <t>Digital Advisory Board</t>
  </si>
  <si>
    <t>Kate Brian Subtotal</t>
  </si>
  <si>
    <t xml:space="preserve">Kate Brian </t>
  </si>
  <si>
    <t>15/01/2018; 31/01/2018</t>
  </si>
  <si>
    <t>23/03/2018; 22/02/2018</t>
  </si>
  <si>
    <t>15/01/2018; 07/03/2018</t>
  </si>
  <si>
    <t>15/01/2018; 22/02/2018</t>
  </si>
  <si>
    <t>23/03/2018; 21/03/2018</t>
  </si>
  <si>
    <t>London to Edinburgh</t>
  </si>
  <si>
    <t>Code of Practice Workshop</t>
  </si>
  <si>
    <t>London to Bristol</t>
  </si>
  <si>
    <t>Meeting</t>
  </si>
  <si>
    <t>Appraisal</t>
  </si>
  <si>
    <t>Appraisal &amp; Reapointmnet Meeting</t>
  </si>
  <si>
    <t>Appraisal &amp; DHSC</t>
  </si>
  <si>
    <t>Authority Meeting/BICA/Fertlity Festival</t>
  </si>
  <si>
    <t>09/05;-11/05/2018</t>
  </si>
  <si>
    <t>Authority Meeting/Annual Conf.</t>
  </si>
  <si>
    <t>14-15/03/2018</t>
  </si>
  <si>
    <t>Manchester Fertility Show</t>
  </si>
  <si>
    <t>Stockport to Manchester</t>
  </si>
  <si>
    <t>Members Interview</t>
  </si>
  <si>
    <t>17-18/04/2018</t>
  </si>
  <si>
    <t>SAC/HFEA Board meeting &amp; Conf.</t>
  </si>
  <si>
    <t>Authority meeting/HFEA Conf.</t>
  </si>
  <si>
    <t>Authority; annual Conference</t>
  </si>
  <si>
    <t>Patient Support Meeting</t>
  </si>
  <si>
    <t>Teleconferencing</t>
  </si>
  <si>
    <t>Annual Conference</t>
  </si>
  <si>
    <t xml:space="preserve"> MEMBERS &amp; DIRECTORS - EXPENSES CLAIMS / INVOICES RECEIVED BETWEEN 1ST APRIL AND 30TH JUNE 2018</t>
  </si>
  <si>
    <t xml:space="preserve"> MEMBERS &amp; DIRECTORS - EXPENSES CLAIMS / INVOICES RECEIVED BETWEEN 1ST JULY AND 30TH SEPTEMBER 2018</t>
  </si>
  <si>
    <t>Accountability Meeting</t>
  </si>
  <si>
    <t>HFEA Chair Day</t>
  </si>
  <si>
    <t>London Day</t>
  </si>
  <si>
    <t>Science Museum Exhibition</t>
  </si>
  <si>
    <t>27-28/06/2018</t>
  </si>
  <si>
    <t>SAC/Licence Committee</t>
  </si>
  <si>
    <t xml:space="preserve"> MEMBERS &amp; DIRECTORS - EXPENSES CLAIMS / INVOICES RECEIVED BETWEEN 1ST OCTOBER AND 31ST DECEMBER 2018</t>
  </si>
  <si>
    <t>Jonathan Herring</t>
  </si>
  <si>
    <t>Jonathan Herring Subtotal</t>
  </si>
  <si>
    <t>Licence Committee, Authority Meeting</t>
  </si>
  <si>
    <t>Licence Committee Meeting</t>
  </si>
  <si>
    <t>London</t>
  </si>
  <si>
    <t>06/09, 12/09/2018</t>
  </si>
  <si>
    <t>Rachel Cutting</t>
  </si>
  <si>
    <t>Rachel Cutting Subtotal</t>
  </si>
  <si>
    <t>Chesterfield to London</t>
  </si>
  <si>
    <t>Legal Training for members role</t>
  </si>
  <si>
    <t>SAC; Licence Committee Meeting</t>
  </si>
  <si>
    <t>Emma Cave</t>
  </si>
  <si>
    <t>mma Cave Subtotal</t>
  </si>
  <si>
    <t>Thirsk to London</t>
  </si>
  <si>
    <t>Redfern payment date-7547</t>
  </si>
  <si>
    <t>Redfern payment date-</t>
  </si>
  <si>
    <t>Accomodation</t>
  </si>
  <si>
    <t>Accommodation</t>
  </si>
  <si>
    <t xml:space="preserve"> MEMBERS &amp; DIRECTORS - EXPENSES CLAIMS / INVOICES RECEIVED BETWEEN 1ST JANUARY AND 31ST MARCH 2019</t>
  </si>
  <si>
    <t>HFEA Board Meeting</t>
  </si>
  <si>
    <t>Audit &amp; Governance Committee, PET Conf.</t>
  </si>
  <si>
    <t>PR Event Manchester</t>
  </si>
  <si>
    <t>PET Conf and Amend Workshop</t>
  </si>
  <si>
    <t>Interview Day</t>
  </si>
  <si>
    <t>SAC &amp; Authority Meeting</t>
  </si>
  <si>
    <t>Edinburgh to London City</t>
  </si>
  <si>
    <t>Edinburgh to Manchester</t>
  </si>
  <si>
    <t>London to Norwich</t>
  </si>
  <si>
    <t>London - Birmingham</t>
  </si>
  <si>
    <t>Accomodation - London</t>
  </si>
  <si>
    <t>07/01/2019; 11/02/2019</t>
  </si>
  <si>
    <t>London to Stevenage</t>
  </si>
  <si>
    <t>London to Midgham</t>
  </si>
  <si>
    <t>Stockport to London-Accom</t>
  </si>
  <si>
    <t xml:space="preserve">London to Midgham </t>
  </si>
  <si>
    <t>London Heathrow</t>
  </si>
  <si>
    <t>meeting with Scottish Minister</t>
  </si>
  <si>
    <t>Authority Meeting; Meeting Minister</t>
  </si>
  <si>
    <t>Licence Committee  Meeting</t>
  </si>
  <si>
    <t>2018-19</t>
  </si>
  <si>
    <t>2017-18</t>
  </si>
  <si>
    <t>TOTAL FOR THE YEAR</t>
  </si>
  <si>
    <t xml:space="preserve"> MEMBERS &amp; DIRECTORS - EXPENSES CLAIMS / INVOICES RECEIVED BETWEEN 1ST APRIL 2018 AND 31ST MARCH 2019</t>
  </si>
  <si>
    <t>Yacoub Khalaf</t>
  </si>
  <si>
    <t>Q4</t>
  </si>
  <si>
    <t>Q3</t>
  </si>
  <si>
    <t>Q2</t>
  </si>
  <si>
    <t>Q1</t>
  </si>
  <si>
    <t xml:space="preserve">Sally Cheshire </t>
  </si>
  <si>
    <t xml:space="preserve">Anita Bharucha </t>
  </si>
  <si>
    <t xml:space="preserve">Rachel Cutting </t>
  </si>
  <si>
    <t xml:space="preserve">Bobbie Farsides </t>
  </si>
  <si>
    <t xml:space="preserve">Margaret Gilmore </t>
  </si>
  <si>
    <t xml:space="preserve">Anne Lampe </t>
  </si>
  <si>
    <t xml:space="preserve">Emma Cave </t>
  </si>
  <si>
    <t>o</t>
  </si>
  <si>
    <t>RGoG Dinner</t>
  </si>
  <si>
    <t>PET Conference attendance</t>
  </si>
  <si>
    <t>HFEA Staff awayday</t>
  </si>
  <si>
    <t>Progress Edinburgh event</t>
  </si>
  <si>
    <t>Director</t>
  </si>
  <si>
    <t>Claire Ettinghausen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</si>
</sst>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£&quot;#,##0.00;[Red]\-&quot;£&quot;#,##0.00"/>
    <numFmt numFmtId="43" formatCode="_-* #,##0.00_-;\-* #,##0.00_-;_-* &quot;-&quot;??_-;_-@_-"/>
    <numFmt numFmtId="164" formatCode="dd/mm/yyyy;@"/>
    <numFmt numFmtId="165" formatCode="dd\-mm\-yyyy"/>
    <numFmt numFmtId="166" formatCode="_(* #,##0.00_);_(* \(#,##0.00\);_(* &quot;-&quot;??_);_(@_)"/>
    <numFmt numFmtId="167" formatCode="_-* #,##0.000_-;\-* #,##0.000_-;_-* &quot;-&quot;??_-;_-@_-"/>
    <numFmt numFmtId="168" formatCode="#,##0_ ;[Red]\-#,##0\ "/>
    <numFmt numFmtId="169" formatCode="#,##0.00_ ;[Red]\-#,##0.00\ 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7030A0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1"/>
      <color rgb="FF7030A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</cellStyleXfs>
  <cellXfs count="71">
    <xf numFmtId="0" fontId="0" fillId="0" borderId="0" xfId="0"/>
    <xf numFmtId="49" fontId="2" fillId="3" borderId="1" xfId="3" applyNumberFormat="1" applyFont="1" applyBorder="1" applyAlignment="1"/>
    <xf numFmtId="43" fontId="2" fillId="3" borderId="1" xfId="1" applyFont="1" applyFill="1" applyBorder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3" fontId="5" fillId="4" borderId="2" xfId="1" applyFont="1" applyFill="1" applyBorder="1" applyAlignment="1">
      <alignment horizontal="center" wrapText="1"/>
    </xf>
    <xf numFmtId="14" fontId="6" fillId="5" borderId="2" xfId="0" applyNumberFormat="1" applyFont="1" applyFill="1" applyBorder="1"/>
    <xf numFmtId="14" fontId="6" fillId="5" borderId="2" xfId="0" applyNumberFormat="1" applyFont="1" applyFill="1" applyBorder="1" applyAlignment="1">
      <alignment horizontal="right"/>
    </xf>
    <xf numFmtId="0" fontId="6" fillId="5" borderId="2" xfId="0" applyFont="1" applyFill="1" applyBorder="1"/>
    <xf numFmtId="43" fontId="6" fillId="5" borderId="2" xfId="1" applyFont="1" applyFill="1" applyBorder="1"/>
    <xf numFmtId="0" fontId="7" fillId="6" borderId="2" xfId="0" applyFont="1" applyFill="1" applyBorder="1"/>
    <xf numFmtId="0" fontId="8" fillId="6" borderId="2" xfId="0" applyFont="1" applyFill="1" applyBorder="1"/>
    <xf numFmtId="164" fontId="8" fillId="6" borderId="2" xfId="0" applyNumberFormat="1" applyFont="1" applyFill="1" applyBorder="1" applyAlignment="1">
      <alignment horizontal="left"/>
    </xf>
    <xf numFmtId="0" fontId="9" fillId="6" borderId="2" xfId="0" applyFont="1" applyFill="1" applyBorder="1" applyAlignment="1"/>
    <xf numFmtId="14" fontId="8" fillId="6" borderId="2" xfId="0" applyNumberFormat="1" applyFont="1" applyFill="1" applyBorder="1" applyAlignment="1">
      <alignment horizontal="left"/>
    </xf>
    <xf numFmtId="43" fontId="9" fillId="6" borderId="2" xfId="1" applyFont="1" applyFill="1" applyBorder="1"/>
    <xf numFmtId="0" fontId="7" fillId="7" borderId="2" xfId="0" applyFont="1" applyFill="1" applyBorder="1"/>
    <xf numFmtId="0" fontId="8" fillId="7" borderId="2" xfId="0" applyFont="1" applyFill="1" applyBorder="1"/>
    <xf numFmtId="14" fontId="7" fillId="7" borderId="2" xfId="0" applyNumberFormat="1" applyFont="1" applyFill="1" applyBorder="1" applyAlignment="1">
      <alignment horizontal="left"/>
    </xf>
    <xf numFmtId="0" fontId="9" fillId="7" borderId="2" xfId="0" applyFont="1" applyFill="1" applyBorder="1" applyAlignment="1"/>
    <xf numFmtId="14" fontId="8" fillId="7" borderId="2" xfId="0" applyNumberFormat="1" applyFont="1" applyFill="1" applyBorder="1" applyAlignment="1">
      <alignment horizontal="left"/>
    </xf>
    <xf numFmtId="43" fontId="9" fillId="7" borderId="2" xfId="1" applyFont="1" applyFill="1" applyBorder="1"/>
    <xf numFmtId="165" fontId="6" fillId="5" borderId="2" xfId="0" applyNumberFormat="1" applyFont="1" applyFill="1" applyBorder="1" applyAlignment="1">
      <alignment horizontal="left"/>
    </xf>
    <xf numFmtId="0" fontId="6" fillId="5" borderId="2" xfId="0" applyFont="1" applyFill="1" applyBorder="1" applyAlignment="1"/>
    <xf numFmtId="14" fontId="6" fillId="5" borderId="2" xfId="0" applyNumberFormat="1" applyFont="1" applyFill="1" applyBorder="1" applyAlignment="1"/>
    <xf numFmtId="0" fontId="6" fillId="0" borderId="0" xfId="0" applyFont="1" applyFill="1" applyBorder="1" applyAlignment="1"/>
    <xf numFmtId="14" fontId="8" fillId="7" borderId="2" xfId="0" applyNumberFormat="1" applyFont="1" applyFill="1" applyBorder="1" applyAlignment="1">
      <alignment horizontal="right"/>
    </xf>
    <xf numFmtId="0" fontId="8" fillId="0" borderId="0" xfId="0" applyFont="1"/>
    <xf numFmtId="14" fontId="8" fillId="0" borderId="0" xfId="0" applyNumberFormat="1" applyFont="1"/>
    <xf numFmtId="43" fontId="8" fillId="0" borderId="0" xfId="0" applyNumberFormat="1" applyFont="1"/>
    <xf numFmtId="43" fontId="9" fillId="0" borderId="3" xfId="1" applyFont="1" applyBorder="1"/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43" fontId="4" fillId="0" borderId="0" xfId="0" applyNumberFormat="1" applyFont="1"/>
    <xf numFmtId="43" fontId="9" fillId="0" borderId="0" xfId="1" applyFont="1" applyBorder="1"/>
    <xf numFmtId="22" fontId="4" fillId="0" borderId="0" xfId="0" applyNumberFormat="1" applyFont="1"/>
    <xf numFmtId="0" fontId="9" fillId="2" borderId="4" xfId="2" applyFont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9" fillId="2" borderId="6" xfId="1" applyFont="1" applyFill="1" applyBorder="1" applyAlignment="1">
      <alignment horizontal="center"/>
    </xf>
    <xf numFmtId="166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10" fillId="0" borderId="0" xfId="0" applyFont="1" applyFill="1"/>
    <xf numFmtId="0" fontId="5" fillId="5" borderId="11" xfId="0" applyFont="1" applyFill="1" applyBorder="1"/>
    <xf numFmtId="43" fontId="5" fillId="8" borderId="12" xfId="1" applyFont="1" applyFill="1" applyBorder="1"/>
    <xf numFmtId="0" fontId="9" fillId="5" borderId="11" xfId="0" applyFont="1" applyFill="1" applyBorder="1"/>
    <xf numFmtId="43" fontId="9" fillId="8" borderId="12" xfId="1" applyFont="1" applyFill="1" applyBorder="1"/>
    <xf numFmtId="43" fontId="5" fillId="8" borderId="1" xfId="1" applyFont="1" applyFill="1" applyBorder="1"/>
    <xf numFmtId="43" fontId="9" fillId="0" borderId="13" xfId="1" applyFont="1" applyBorder="1"/>
    <xf numFmtId="43" fontId="6" fillId="8" borderId="12" xfId="1" applyFont="1" applyFill="1" applyBorder="1" applyAlignment="1">
      <alignment horizontal="center"/>
    </xf>
    <xf numFmtId="167" fontId="6" fillId="8" borderId="12" xfId="1" applyNumberFormat="1" applyFont="1" applyFill="1" applyBorder="1" applyAlignment="1">
      <alignment horizontal="center"/>
    </xf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8" fontId="0" fillId="0" borderId="0" xfId="0" applyNumberFormat="1"/>
    <xf numFmtId="168" fontId="4" fillId="0" borderId="0" xfId="0" applyNumberFormat="1" applyFont="1"/>
    <xf numFmtId="0" fontId="12" fillId="0" borderId="0" xfId="0" applyFont="1"/>
    <xf numFmtId="169" fontId="0" fillId="0" borderId="0" xfId="0" applyNumberFormat="1"/>
    <xf numFmtId="43" fontId="0" fillId="0" borderId="0" xfId="0" applyNumberFormat="1"/>
    <xf numFmtId="43" fontId="9" fillId="8" borderId="1" xfId="1" applyFont="1" applyFill="1" applyBorder="1"/>
    <xf numFmtId="0" fontId="13" fillId="6" borderId="2" xfId="0" applyFont="1" applyFill="1" applyBorder="1"/>
    <xf numFmtId="0" fontId="14" fillId="6" borderId="2" xfId="0" applyFont="1" applyFill="1" applyBorder="1"/>
    <xf numFmtId="164" fontId="14" fillId="6" borderId="2" xfId="0" applyNumberFormat="1" applyFont="1" applyFill="1" applyBorder="1" applyAlignment="1">
      <alignment horizontal="left"/>
    </xf>
    <xf numFmtId="0" fontId="15" fillId="6" borderId="2" xfId="0" applyFont="1" applyFill="1" applyBorder="1" applyAlignment="1"/>
    <xf numFmtId="14" fontId="14" fillId="6" borderId="2" xfId="0" applyNumberFormat="1" applyFont="1" applyFill="1" applyBorder="1" applyAlignment="1">
      <alignment horizontal="left"/>
    </xf>
    <xf numFmtId="43" fontId="15" fillId="6" borderId="2" xfId="1" applyFont="1" applyFill="1" applyBorder="1"/>
    <xf numFmtId="0" fontId="16" fillId="0" borderId="0" xfId="0" applyFont="1"/>
  </cellXfs>
  <cellStyles count="4">
    <cellStyle name="Accent5" xfId="3" builtinId="45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"/>
  <sheetViews>
    <sheetView zoomScale="85" zoomScaleNormal="85" workbookViewId="0">
      <pane xSplit="1" ySplit="2" topLeftCell="B57" activePane="bottomRight" state="frozen"/>
      <selection activeCell="F62" sqref="F62:M69"/>
      <selection pane="topRight" activeCell="F62" sqref="F62:M69"/>
      <selection pane="bottomLeft" activeCell="F62" sqref="F62:M69"/>
      <selection pane="bottomRight" activeCell="F62" sqref="F62:M69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8" t="s">
        <v>14</v>
      </c>
      <c r="B3" s="8" t="s">
        <v>15</v>
      </c>
      <c r="C3" s="9">
        <v>42866</v>
      </c>
      <c r="D3" s="8" t="s">
        <v>16</v>
      </c>
      <c r="E3" s="9">
        <v>42859</v>
      </c>
      <c r="F3" s="10" t="s">
        <v>17</v>
      </c>
      <c r="G3" s="11"/>
      <c r="H3" s="11"/>
      <c r="I3" s="11">
        <v>96</v>
      </c>
      <c r="J3" s="11"/>
      <c r="K3" s="11"/>
      <c r="L3" s="11"/>
      <c r="M3" s="11">
        <f>SUM(G3:L3)</f>
        <v>96</v>
      </c>
    </row>
    <row r="4" spans="1:13" x14ac:dyDescent="0.3">
      <c r="A4" s="8" t="s">
        <v>14</v>
      </c>
      <c r="B4" s="8" t="s">
        <v>15</v>
      </c>
      <c r="C4" s="9">
        <v>42899</v>
      </c>
      <c r="D4" s="8" t="s">
        <v>18</v>
      </c>
      <c r="E4" s="9">
        <v>42828</v>
      </c>
      <c r="F4" s="10" t="s">
        <v>19</v>
      </c>
      <c r="G4" s="11"/>
      <c r="H4" s="11"/>
      <c r="I4" s="11">
        <v>47.4</v>
      </c>
      <c r="J4" s="11"/>
      <c r="K4" s="11"/>
      <c r="L4" s="11"/>
      <c r="M4" s="11">
        <f>SUM(G4:L4)</f>
        <v>47.4</v>
      </c>
    </row>
    <row r="5" spans="1:13" x14ac:dyDescent="0.3">
      <c r="A5" s="12" t="s">
        <v>20</v>
      </c>
      <c r="B5" s="13"/>
      <c r="C5" s="14"/>
      <c r="D5" s="15"/>
      <c r="E5" s="16"/>
      <c r="F5" s="13"/>
      <c r="G5" s="17">
        <f>SUBTOTAL(9,G3:G4)</f>
        <v>0</v>
      </c>
      <c r="H5" s="17">
        <f t="shared" ref="H5:M5" si="0">SUBTOTAL(9,H3:H4)</f>
        <v>0</v>
      </c>
      <c r="I5" s="17">
        <f t="shared" si="0"/>
        <v>143.4</v>
      </c>
      <c r="J5" s="17">
        <f t="shared" si="0"/>
        <v>0</v>
      </c>
      <c r="K5" s="17">
        <f t="shared" si="0"/>
        <v>0</v>
      </c>
      <c r="L5" s="17">
        <f t="shared" si="0"/>
        <v>0</v>
      </c>
      <c r="M5" s="17">
        <f t="shared" si="0"/>
        <v>143.4</v>
      </c>
    </row>
    <row r="6" spans="1:13" x14ac:dyDescent="0.3">
      <c r="A6" s="18" t="s">
        <v>21</v>
      </c>
      <c r="B6" s="19"/>
      <c r="C6" s="20"/>
      <c r="D6" s="21"/>
      <c r="E6" s="22"/>
      <c r="F6" s="19"/>
      <c r="G6" s="23"/>
      <c r="H6" s="23"/>
      <c r="I6" s="23"/>
      <c r="J6" s="23"/>
      <c r="K6" s="23"/>
      <c r="L6" s="23"/>
      <c r="M6" s="23"/>
    </row>
    <row r="7" spans="1:13" x14ac:dyDescent="0.3">
      <c r="A7" s="8" t="s">
        <v>22</v>
      </c>
      <c r="B7" s="8" t="s">
        <v>23</v>
      </c>
      <c r="C7" s="9">
        <v>42866</v>
      </c>
      <c r="D7" s="10" t="s">
        <v>24</v>
      </c>
      <c r="E7" s="9">
        <v>42819</v>
      </c>
      <c r="F7" s="24" t="s">
        <v>25</v>
      </c>
      <c r="G7" s="11"/>
      <c r="H7" s="11"/>
      <c r="I7" s="11"/>
      <c r="J7" s="11"/>
      <c r="K7" s="11">
        <v>149.6</v>
      </c>
      <c r="L7" s="11"/>
      <c r="M7" s="11">
        <f>SUM(G7:L7)</f>
        <v>149.6</v>
      </c>
    </row>
    <row r="8" spans="1:13" x14ac:dyDescent="0.3">
      <c r="A8" s="12" t="s">
        <v>26</v>
      </c>
      <c r="B8" s="13"/>
      <c r="C8" s="14"/>
      <c r="D8" s="15"/>
      <c r="E8" s="16"/>
      <c r="F8" s="13"/>
      <c r="G8" s="17">
        <f t="shared" ref="G8:M8" si="1">SUBTOTAL(9,G7:G7)</f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149.6</v>
      </c>
      <c r="L8" s="17">
        <f t="shared" si="1"/>
        <v>0</v>
      </c>
      <c r="M8" s="17">
        <f t="shared" si="1"/>
        <v>149.6</v>
      </c>
    </row>
    <row r="9" spans="1:13" x14ac:dyDescent="0.3">
      <c r="A9" s="18" t="s">
        <v>27</v>
      </c>
      <c r="B9" s="19"/>
      <c r="C9" s="20"/>
      <c r="D9" s="21"/>
      <c r="E9" s="22"/>
      <c r="F9" s="19"/>
      <c r="G9" s="23"/>
      <c r="H9" s="23"/>
      <c r="I9" s="23"/>
      <c r="J9" s="23"/>
      <c r="K9" s="23"/>
      <c r="L9" s="23"/>
      <c r="M9" s="23"/>
    </row>
    <row r="10" spans="1:13" x14ac:dyDescent="0.3">
      <c r="A10" s="8" t="s">
        <v>28</v>
      </c>
      <c r="B10" s="8" t="s">
        <v>29</v>
      </c>
      <c r="C10" s="8">
        <v>42887</v>
      </c>
      <c r="D10" s="10" t="s">
        <v>30</v>
      </c>
      <c r="E10" s="9">
        <v>42823</v>
      </c>
      <c r="F10" s="10" t="s">
        <v>31</v>
      </c>
      <c r="G10" s="11"/>
      <c r="H10" s="11"/>
      <c r="I10" s="11">
        <f>210.7+2.4</f>
        <v>213.1</v>
      </c>
      <c r="J10" s="11">
        <v>53</v>
      </c>
      <c r="K10" s="11">
        <v>8.31</v>
      </c>
      <c r="L10" s="11"/>
      <c r="M10" s="11">
        <f t="shared" ref="M10:M21" si="2">SUM(G10:L10)</f>
        <v>274.41000000000003</v>
      </c>
    </row>
    <row r="11" spans="1:13" x14ac:dyDescent="0.3">
      <c r="A11" s="8" t="s">
        <v>28</v>
      </c>
      <c r="B11" s="8" t="s">
        <v>29</v>
      </c>
      <c r="C11" s="8">
        <v>42887</v>
      </c>
      <c r="D11" s="10" t="s">
        <v>32</v>
      </c>
      <c r="E11" s="9">
        <v>42849</v>
      </c>
      <c r="F11" s="10" t="s">
        <v>33</v>
      </c>
      <c r="G11" s="11"/>
      <c r="H11" s="11"/>
      <c r="I11" s="11"/>
      <c r="J11" s="11"/>
      <c r="K11" s="11">
        <v>24.15</v>
      </c>
      <c r="L11" s="11"/>
      <c r="M11" s="11">
        <f t="shared" si="2"/>
        <v>24.15</v>
      </c>
    </row>
    <row r="12" spans="1:13" x14ac:dyDescent="0.3">
      <c r="A12" s="8" t="s">
        <v>28</v>
      </c>
      <c r="B12" s="8" t="s">
        <v>29</v>
      </c>
      <c r="C12" s="9">
        <v>42887</v>
      </c>
      <c r="D12" s="10" t="s">
        <v>24</v>
      </c>
      <c r="E12" s="9">
        <v>42819</v>
      </c>
      <c r="F12" s="10" t="s">
        <v>34</v>
      </c>
      <c r="G12" s="11"/>
      <c r="H12" s="11"/>
      <c r="I12" s="11">
        <v>4.2</v>
      </c>
      <c r="J12" s="11"/>
      <c r="K12" s="11"/>
      <c r="L12" s="11"/>
      <c r="M12" s="11">
        <f t="shared" si="2"/>
        <v>4.2</v>
      </c>
    </row>
    <row r="13" spans="1:13" x14ac:dyDescent="0.3">
      <c r="A13" s="8" t="s">
        <v>28</v>
      </c>
      <c r="B13" s="8" t="s">
        <v>29</v>
      </c>
      <c r="C13" s="8">
        <v>42887</v>
      </c>
      <c r="D13" s="10" t="s">
        <v>35</v>
      </c>
      <c r="E13" s="9">
        <v>42844</v>
      </c>
      <c r="F13" s="10" t="s">
        <v>31</v>
      </c>
      <c r="G13" s="11"/>
      <c r="H13" s="11"/>
      <c r="I13" s="11">
        <v>338</v>
      </c>
      <c r="J13" s="11">
        <v>43</v>
      </c>
      <c r="K13" s="11">
        <v>9.09</v>
      </c>
      <c r="L13" s="11"/>
      <c r="M13" s="11">
        <f t="shared" si="2"/>
        <v>390.09</v>
      </c>
    </row>
    <row r="14" spans="1:13" x14ac:dyDescent="0.3">
      <c r="A14" s="10" t="s">
        <v>28</v>
      </c>
      <c r="B14" s="8" t="s">
        <v>29</v>
      </c>
      <c r="C14" s="9">
        <v>42887</v>
      </c>
      <c r="D14" s="10" t="s">
        <v>36</v>
      </c>
      <c r="E14" s="9">
        <v>42851</v>
      </c>
      <c r="F14" s="10" t="s">
        <v>31</v>
      </c>
      <c r="G14" s="11"/>
      <c r="H14" s="11"/>
      <c r="I14" s="11">
        <f>338+2.4</f>
        <v>340.4</v>
      </c>
      <c r="J14" s="11">
        <v>32</v>
      </c>
      <c r="K14" s="11">
        <v>10.99</v>
      </c>
      <c r="L14" s="11"/>
      <c r="M14" s="11">
        <f t="shared" si="2"/>
        <v>383.39</v>
      </c>
    </row>
    <row r="15" spans="1:13" x14ac:dyDescent="0.3">
      <c r="A15" s="10" t="s">
        <v>28</v>
      </c>
      <c r="B15" s="8" t="s">
        <v>29</v>
      </c>
      <c r="C15" s="9">
        <v>42887</v>
      </c>
      <c r="D15" s="10" t="s">
        <v>36</v>
      </c>
      <c r="E15" s="9">
        <v>42857</v>
      </c>
      <c r="F15" s="10" t="s">
        <v>31</v>
      </c>
      <c r="G15" s="11"/>
      <c r="H15" s="11"/>
      <c r="I15" s="11">
        <v>338</v>
      </c>
      <c r="J15" s="11">
        <v>13</v>
      </c>
      <c r="K15" s="11">
        <v>12.38</v>
      </c>
      <c r="L15" s="11"/>
      <c r="M15" s="11">
        <f t="shared" si="2"/>
        <v>363.38</v>
      </c>
    </row>
    <row r="16" spans="1:13" x14ac:dyDescent="0.3">
      <c r="A16" s="10" t="s">
        <v>28</v>
      </c>
      <c r="B16" s="8" t="s">
        <v>29</v>
      </c>
      <c r="C16" s="9">
        <v>42887</v>
      </c>
      <c r="D16" s="10" t="s">
        <v>37</v>
      </c>
      <c r="E16" s="9">
        <v>42865</v>
      </c>
      <c r="F16" s="10" t="s">
        <v>31</v>
      </c>
      <c r="G16" s="11"/>
      <c r="H16" s="11"/>
      <c r="I16" s="11">
        <v>338</v>
      </c>
      <c r="J16" s="11">
        <v>51</v>
      </c>
      <c r="K16" s="11">
        <v>1.49</v>
      </c>
      <c r="L16" s="11"/>
      <c r="M16" s="11">
        <f t="shared" si="2"/>
        <v>390.49</v>
      </c>
    </row>
    <row r="17" spans="1:13" x14ac:dyDescent="0.3">
      <c r="A17" s="10" t="s">
        <v>28</v>
      </c>
      <c r="B17" s="8" t="s">
        <v>29</v>
      </c>
      <c r="C17" s="9">
        <v>42892</v>
      </c>
      <c r="D17" s="10" t="s">
        <v>36</v>
      </c>
      <c r="E17" s="9">
        <v>42816</v>
      </c>
      <c r="F17" s="10" t="s">
        <v>31</v>
      </c>
      <c r="G17" s="11"/>
      <c r="H17" s="11"/>
      <c r="I17" s="11">
        <v>338</v>
      </c>
      <c r="J17" s="11">
        <v>48</v>
      </c>
      <c r="K17" s="11">
        <v>7.52</v>
      </c>
      <c r="L17" s="11"/>
      <c r="M17" s="11">
        <f t="shared" si="2"/>
        <v>393.52</v>
      </c>
    </row>
    <row r="18" spans="1:13" x14ac:dyDescent="0.3">
      <c r="A18" s="10" t="s">
        <v>28</v>
      </c>
      <c r="B18" s="8" t="s">
        <v>29</v>
      </c>
      <c r="C18" s="9">
        <v>42916</v>
      </c>
      <c r="D18" s="10" t="s">
        <v>36</v>
      </c>
      <c r="E18" s="9">
        <v>42893</v>
      </c>
      <c r="F18" s="10" t="s">
        <v>31</v>
      </c>
      <c r="G18" s="11"/>
      <c r="H18" s="11"/>
      <c r="I18" s="11">
        <v>338</v>
      </c>
      <c r="J18" s="11">
        <v>51</v>
      </c>
      <c r="K18" s="11">
        <v>15.38</v>
      </c>
      <c r="L18" s="11"/>
      <c r="M18" s="11">
        <f t="shared" si="2"/>
        <v>404.38</v>
      </c>
    </row>
    <row r="19" spans="1:13" x14ac:dyDescent="0.3">
      <c r="A19" s="10" t="s">
        <v>28</v>
      </c>
      <c r="B19" s="8" t="s">
        <v>29</v>
      </c>
      <c r="C19" s="9">
        <v>42916</v>
      </c>
      <c r="D19" s="25" t="s">
        <v>36</v>
      </c>
      <c r="E19" s="9">
        <v>42879</v>
      </c>
      <c r="F19" s="10" t="s">
        <v>31</v>
      </c>
      <c r="G19" s="11"/>
      <c r="H19" s="11"/>
      <c r="I19" s="11">
        <v>210.7</v>
      </c>
      <c r="J19" s="11">
        <v>33</v>
      </c>
      <c r="K19" s="11">
        <v>12.66</v>
      </c>
      <c r="L19" s="11"/>
      <c r="M19" s="11">
        <f t="shared" si="2"/>
        <v>256.36</v>
      </c>
    </row>
    <row r="20" spans="1:13" x14ac:dyDescent="0.3">
      <c r="A20" s="10" t="s">
        <v>28</v>
      </c>
      <c r="B20" s="8" t="s">
        <v>29</v>
      </c>
      <c r="C20" s="9">
        <v>42916</v>
      </c>
      <c r="D20" s="25" t="s">
        <v>36</v>
      </c>
      <c r="E20" s="9">
        <v>42872</v>
      </c>
      <c r="F20" s="10" t="s">
        <v>31</v>
      </c>
      <c r="G20" s="11"/>
      <c r="H20" s="11"/>
      <c r="I20" s="11">
        <v>338</v>
      </c>
      <c r="J20" s="11">
        <v>35</v>
      </c>
      <c r="K20" s="11">
        <v>12.15</v>
      </c>
      <c r="L20" s="11"/>
      <c r="M20" s="11">
        <f t="shared" si="2"/>
        <v>385.15</v>
      </c>
    </row>
    <row r="21" spans="1:13" x14ac:dyDescent="0.3">
      <c r="A21" s="10" t="s">
        <v>28</v>
      </c>
      <c r="B21" s="8" t="s">
        <v>29</v>
      </c>
      <c r="C21" s="9">
        <v>42866</v>
      </c>
      <c r="D21" s="10" t="s">
        <v>38</v>
      </c>
      <c r="E21" s="9">
        <v>42809</v>
      </c>
      <c r="F21" s="10" t="s">
        <v>31</v>
      </c>
      <c r="G21" s="11"/>
      <c r="H21" s="11"/>
      <c r="I21" s="11"/>
      <c r="J21" s="11"/>
      <c r="K21" s="11">
        <v>147.33000000000001</v>
      </c>
      <c r="L21" s="11"/>
      <c r="M21" s="11">
        <f t="shared" si="2"/>
        <v>147.33000000000001</v>
      </c>
    </row>
    <row r="22" spans="1:13" x14ac:dyDescent="0.3">
      <c r="A22" s="12" t="s">
        <v>39</v>
      </c>
      <c r="B22" s="13"/>
      <c r="C22" s="14"/>
      <c r="D22" s="15"/>
      <c r="E22" s="16"/>
      <c r="F22" s="13"/>
      <c r="G22" s="17">
        <f t="shared" ref="G22:M22" si="3">SUBTOTAL(9,G10:G21)</f>
        <v>0</v>
      </c>
      <c r="H22" s="17">
        <f t="shared" si="3"/>
        <v>0</v>
      </c>
      <c r="I22" s="17">
        <f>SUBTOTAL(9,I10:I21)</f>
        <v>2796.3999999999996</v>
      </c>
      <c r="J22" s="17">
        <f t="shared" si="3"/>
        <v>359</v>
      </c>
      <c r="K22" s="17">
        <f t="shared" si="3"/>
        <v>261.45</v>
      </c>
      <c r="L22" s="17">
        <f t="shared" si="3"/>
        <v>0</v>
      </c>
      <c r="M22" s="17">
        <f t="shared" si="3"/>
        <v>3416.8500000000004</v>
      </c>
    </row>
    <row r="23" spans="1:13" x14ac:dyDescent="0.3">
      <c r="A23" s="18" t="s">
        <v>40</v>
      </c>
      <c r="B23" s="19" t="s">
        <v>41</v>
      </c>
      <c r="C23" s="20"/>
      <c r="D23" s="21"/>
      <c r="E23" s="22"/>
      <c r="F23" s="19"/>
      <c r="G23" s="23"/>
      <c r="H23" s="23"/>
      <c r="I23" s="23"/>
      <c r="J23" s="23"/>
      <c r="K23" s="23"/>
      <c r="L23" s="23"/>
      <c r="M23" s="23">
        <v>0</v>
      </c>
    </row>
    <row r="24" spans="1:13" x14ac:dyDescent="0.3">
      <c r="A24" s="10" t="s">
        <v>42</v>
      </c>
      <c r="B24" s="8" t="s">
        <v>41</v>
      </c>
      <c r="C24" s="9" t="s">
        <v>43</v>
      </c>
      <c r="D24" s="25" t="s">
        <v>44</v>
      </c>
      <c r="E24" s="9" t="s">
        <v>45</v>
      </c>
      <c r="F24" s="25" t="s">
        <v>46</v>
      </c>
      <c r="G24" s="11"/>
      <c r="H24" s="11"/>
      <c r="I24" s="11">
        <f>66.9+66.9</f>
        <v>133.80000000000001</v>
      </c>
      <c r="J24" s="11">
        <f>10+14.4</f>
        <v>24.4</v>
      </c>
      <c r="K24" s="11"/>
      <c r="L24" s="11"/>
      <c r="M24" s="11">
        <f t="shared" ref="M24:M40" si="4">SUM(G24:L24)</f>
        <v>158.20000000000002</v>
      </c>
    </row>
    <row r="25" spans="1:13" x14ac:dyDescent="0.3">
      <c r="A25" s="10" t="s">
        <v>42</v>
      </c>
      <c r="B25" s="8" t="s">
        <v>41</v>
      </c>
      <c r="C25" s="9">
        <v>42899</v>
      </c>
      <c r="D25" s="25" t="s">
        <v>47</v>
      </c>
      <c r="E25" s="9">
        <v>42899</v>
      </c>
      <c r="F25" s="25" t="s">
        <v>46</v>
      </c>
      <c r="G25" s="11"/>
      <c r="H25" s="11"/>
      <c r="I25" s="11">
        <v>66.900000000000006</v>
      </c>
      <c r="J25" s="11"/>
      <c r="K25" s="11"/>
      <c r="L25" s="11"/>
      <c r="M25" s="11">
        <f t="shared" si="4"/>
        <v>66.900000000000006</v>
      </c>
    </row>
    <row r="26" spans="1:13" x14ac:dyDescent="0.3">
      <c r="A26" s="10" t="s">
        <v>42</v>
      </c>
      <c r="B26" s="8" t="s">
        <v>41</v>
      </c>
      <c r="C26" s="9">
        <v>42899</v>
      </c>
      <c r="D26" s="25" t="s">
        <v>37</v>
      </c>
      <c r="E26" s="9">
        <v>42914</v>
      </c>
      <c r="F26" s="25" t="s">
        <v>48</v>
      </c>
      <c r="G26" s="11"/>
      <c r="H26" s="11"/>
      <c r="I26" s="11">
        <v>69.900000000000006</v>
      </c>
      <c r="J26" s="11"/>
      <c r="K26" s="11"/>
      <c r="L26" s="11"/>
      <c r="M26" s="11">
        <f t="shared" si="4"/>
        <v>69.900000000000006</v>
      </c>
    </row>
    <row r="27" spans="1:13" x14ac:dyDescent="0.3">
      <c r="A27" s="10" t="s">
        <v>42</v>
      </c>
      <c r="B27" s="8" t="s">
        <v>41</v>
      </c>
      <c r="C27" s="9">
        <v>42899</v>
      </c>
      <c r="D27" s="25" t="s">
        <v>49</v>
      </c>
      <c r="E27" s="9">
        <v>42822</v>
      </c>
      <c r="F27" s="25" t="s">
        <v>46</v>
      </c>
      <c r="G27" s="11"/>
      <c r="H27" s="11"/>
      <c r="I27" s="11">
        <v>-60.9</v>
      </c>
      <c r="J27" s="11"/>
      <c r="K27" s="11"/>
      <c r="L27" s="11"/>
      <c r="M27" s="11">
        <f t="shared" si="4"/>
        <v>-60.9</v>
      </c>
    </row>
    <row r="28" spans="1:13" x14ac:dyDescent="0.3">
      <c r="A28" s="12" t="s">
        <v>50</v>
      </c>
      <c r="B28" s="13"/>
      <c r="C28" s="16"/>
      <c r="D28" s="15"/>
      <c r="E28" s="16"/>
      <c r="F28" s="13"/>
      <c r="G28" s="17">
        <f t="shared" ref="G28:M28" si="5">SUBTOTAL(9,G24:G27)</f>
        <v>0</v>
      </c>
      <c r="H28" s="17">
        <f t="shared" si="5"/>
        <v>0</v>
      </c>
      <c r="I28" s="17">
        <f>SUBTOTAL(9,I24:I27)</f>
        <v>209.70000000000002</v>
      </c>
      <c r="J28" s="17">
        <f t="shared" si="5"/>
        <v>24.4</v>
      </c>
      <c r="K28" s="17">
        <f t="shared" si="5"/>
        <v>0</v>
      </c>
      <c r="L28" s="17">
        <f t="shared" si="5"/>
        <v>0</v>
      </c>
      <c r="M28" s="17">
        <f t="shared" si="5"/>
        <v>234.1</v>
      </c>
    </row>
    <row r="29" spans="1:13" x14ac:dyDescent="0.3">
      <c r="A29" s="8" t="s">
        <v>51</v>
      </c>
      <c r="B29" s="8" t="s">
        <v>41</v>
      </c>
      <c r="C29" s="9" t="s">
        <v>52</v>
      </c>
      <c r="D29" s="25" t="s">
        <v>49</v>
      </c>
      <c r="E29" s="9" t="s">
        <v>53</v>
      </c>
      <c r="F29" s="24" t="s">
        <v>54</v>
      </c>
      <c r="G29" s="11"/>
      <c r="H29" s="11"/>
      <c r="I29" s="11">
        <f>54.3-48.3</f>
        <v>6</v>
      </c>
      <c r="J29" s="11"/>
      <c r="K29" s="11"/>
      <c r="L29" s="11"/>
      <c r="M29" s="11">
        <f t="shared" si="4"/>
        <v>6</v>
      </c>
    </row>
    <row r="30" spans="1:13" x14ac:dyDescent="0.3">
      <c r="A30" s="10" t="s">
        <v>51</v>
      </c>
      <c r="B30" s="8" t="s">
        <v>41</v>
      </c>
      <c r="C30" s="9">
        <v>42866</v>
      </c>
      <c r="D30" s="25" t="s">
        <v>55</v>
      </c>
      <c r="E30" s="8">
        <v>42761</v>
      </c>
      <c r="F30" s="24" t="s">
        <v>54</v>
      </c>
      <c r="G30" s="11"/>
      <c r="H30" s="11"/>
      <c r="I30" s="11">
        <v>-43.3</v>
      </c>
      <c r="J30" s="11"/>
      <c r="K30" s="11"/>
      <c r="L30" s="11"/>
      <c r="M30" s="11">
        <f t="shared" si="4"/>
        <v>-43.3</v>
      </c>
    </row>
    <row r="31" spans="1:13" x14ac:dyDescent="0.3">
      <c r="A31" s="10" t="s">
        <v>51</v>
      </c>
      <c r="B31" s="8" t="s">
        <v>41</v>
      </c>
      <c r="C31" s="9">
        <v>42866</v>
      </c>
      <c r="D31" s="25" t="s">
        <v>56</v>
      </c>
      <c r="E31" s="8">
        <v>42809</v>
      </c>
      <c r="F31" s="24" t="s">
        <v>54</v>
      </c>
      <c r="G31" s="11"/>
      <c r="H31" s="11"/>
      <c r="I31" s="11"/>
      <c r="J31" s="11"/>
      <c r="K31" s="11">
        <v>147.33000000000001</v>
      </c>
      <c r="L31" s="11"/>
      <c r="M31" s="11">
        <f t="shared" si="4"/>
        <v>147.33000000000001</v>
      </c>
    </row>
    <row r="32" spans="1:13" x14ac:dyDescent="0.3">
      <c r="A32" s="10" t="s">
        <v>51</v>
      </c>
      <c r="B32" s="8" t="s">
        <v>41</v>
      </c>
      <c r="C32" s="9">
        <v>42866</v>
      </c>
      <c r="D32" s="25" t="s">
        <v>55</v>
      </c>
      <c r="E32" s="8">
        <v>42852</v>
      </c>
      <c r="F32" s="24" t="s">
        <v>54</v>
      </c>
      <c r="G32" s="11"/>
      <c r="H32" s="11"/>
      <c r="I32" s="11">
        <v>54.3</v>
      </c>
      <c r="J32" s="11"/>
      <c r="K32" s="11"/>
      <c r="L32" s="11"/>
      <c r="M32" s="11">
        <f t="shared" si="4"/>
        <v>54.3</v>
      </c>
    </row>
    <row r="33" spans="1:17" x14ac:dyDescent="0.3">
      <c r="A33" s="10" t="s">
        <v>51</v>
      </c>
      <c r="B33" s="8" t="s">
        <v>41</v>
      </c>
      <c r="C33" s="9">
        <v>75737</v>
      </c>
      <c r="D33" s="25" t="s">
        <v>37</v>
      </c>
      <c r="E33" s="8">
        <v>42865</v>
      </c>
      <c r="F33" s="24" t="s">
        <v>54</v>
      </c>
      <c r="G33" s="11"/>
      <c r="H33" s="11"/>
      <c r="I33" s="11">
        <v>54.3</v>
      </c>
      <c r="J33" s="11"/>
      <c r="K33" s="11"/>
      <c r="L33" s="11"/>
      <c r="M33" s="11">
        <f t="shared" si="4"/>
        <v>54.3</v>
      </c>
    </row>
    <row r="34" spans="1:17" x14ac:dyDescent="0.3">
      <c r="A34" s="10" t="s">
        <v>51</v>
      </c>
      <c r="B34" s="8" t="s">
        <v>41</v>
      </c>
      <c r="C34" s="9">
        <v>75737</v>
      </c>
      <c r="D34" s="25" t="s">
        <v>57</v>
      </c>
      <c r="E34" s="8">
        <v>42880</v>
      </c>
      <c r="F34" s="24" t="s">
        <v>54</v>
      </c>
      <c r="G34" s="11"/>
      <c r="H34" s="11"/>
      <c r="I34" s="11">
        <v>54.3</v>
      </c>
      <c r="J34" s="11"/>
      <c r="K34" s="11"/>
      <c r="L34" s="11"/>
      <c r="M34" s="11">
        <f t="shared" si="4"/>
        <v>54.3</v>
      </c>
    </row>
    <row r="35" spans="1:17" x14ac:dyDescent="0.3">
      <c r="A35" s="10" t="s">
        <v>51</v>
      </c>
      <c r="B35" s="8" t="s">
        <v>41</v>
      </c>
      <c r="C35" s="9">
        <v>42899</v>
      </c>
      <c r="D35" s="25" t="s">
        <v>58</v>
      </c>
      <c r="E35" s="9" t="s">
        <v>59</v>
      </c>
      <c r="F35" s="24" t="s">
        <v>54</v>
      </c>
      <c r="G35" s="11"/>
      <c r="H35" s="11"/>
      <c r="I35" s="11">
        <f>54.3+54.3</f>
        <v>108.6</v>
      </c>
      <c r="J35" s="11"/>
      <c r="K35" s="11"/>
      <c r="L35" s="11"/>
      <c r="M35" s="11">
        <f t="shared" si="4"/>
        <v>108.6</v>
      </c>
    </row>
    <row r="36" spans="1:17" x14ac:dyDescent="0.3">
      <c r="A36" s="10" t="s">
        <v>51</v>
      </c>
      <c r="B36" s="8" t="s">
        <v>41</v>
      </c>
      <c r="C36" s="9">
        <v>42899</v>
      </c>
      <c r="D36" s="25" t="s">
        <v>57</v>
      </c>
      <c r="E36" s="8">
        <v>42943</v>
      </c>
      <c r="F36" s="24" t="s">
        <v>54</v>
      </c>
      <c r="G36" s="11"/>
      <c r="H36" s="11"/>
      <c r="I36" s="11">
        <v>54.3</v>
      </c>
      <c r="J36" s="11"/>
      <c r="K36" s="11"/>
      <c r="L36" s="11"/>
      <c r="M36" s="11">
        <f t="shared" si="4"/>
        <v>54.3</v>
      </c>
    </row>
    <row r="37" spans="1:17" x14ac:dyDescent="0.3">
      <c r="A37" s="10" t="s">
        <v>51</v>
      </c>
      <c r="B37" s="8" t="s">
        <v>41</v>
      </c>
      <c r="C37" s="9">
        <v>42899</v>
      </c>
      <c r="D37" s="25" t="s">
        <v>47</v>
      </c>
      <c r="E37" s="9">
        <v>42899</v>
      </c>
      <c r="F37" s="24" t="s">
        <v>54</v>
      </c>
      <c r="G37" s="11"/>
      <c r="H37" s="11"/>
      <c r="I37" s="11">
        <v>54.3</v>
      </c>
      <c r="J37" s="11"/>
      <c r="K37" s="11"/>
      <c r="L37" s="11"/>
      <c r="M37" s="11">
        <f t="shared" si="4"/>
        <v>54.3</v>
      </c>
    </row>
    <row r="38" spans="1:17" x14ac:dyDescent="0.3">
      <c r="A38" s="12" t="s">
        <v>60</v>
      </c>
      <c r="B38" s="13"/>
      <c r="C38" s="16"/>
      <c r="D38" s="15"/>
      <c r="E38" s="16"/>
      <c r="F38" s="13"/>
      <c r="G38" s="17">
        <f t="shared" ref="G38:M38" si="6">SUBTOTAL(9,G29:G37)</f>
        <v>0</v>
      </c>
      <c r="H38" s="17">
        <f t="shared" si="6"/>
        <v>0</v>
      </c>
      <c r="I38" s="17">
        <f>SUBTOTAL(9,I29:I37)</f>
        <v>342.8</v>
      </c>
      <c r="J38" s="17">
        <f t="shared" si="6"/>
        <v>0</v>
      </c>
      <c r="K38" s="17">
        <f t="shared" si="6"/>
        <v>147.33000000000001</v>
      </c>
      <c r="L38" s="17">
        <f t="shared" si="6"/>
        <v>0</v>
      </c>
      <c r="M38" s="17">
        <f t="shared" si="6"/>
        <v>490.13</v>
      </c>
    </row>
    <row r="39" spans="1:17" x14ac:dyDescent="0.3">
      <c r="A39" s="10" t="s">
        <v>61</v>
      </c>
      <c r="B39" s="10" t="s">
        <v>41</v>
      </c>
      <c r="C39" s="26">
        <v>42866</v>
      </c>
      <c r="D39" s="25" t="s">
        <v>62</v>
      </c>
      <c r="E39" s="9">
        <v>42859</v>
      </c>
      <c r="F39" s="25" t="s">
        <v>48</v>
      </c>
      <c r="G39" s="11"/>
      <c r="H39" s="11"/>
      <c r="I39" s="11">
        <v>68.900000000000006</v>
      </c>
      <c r="J39" s="11">
        <v>6</v>
      </c>
      <c r="K39" s="11"/>
      <c r="L39" s="11"/>
      <c r="M39" s="11">
        <f t="shared" si="4"/>
        <v>74.900000000000006</v>
      </c>
      <c r="Q39" s="27"/>
    </row>
    <row r="40" spans="1:17" x14ac:dyDescent="0.3">
      <c r="A40" s="10" t="s">
        <v>61</v>
      </c>
      <c r="B40" s="10" t="s">
        <v>41</v>
      </c>
      <c r="C40" s="9">
        <v>42916</v>
      </c>
      <c r="D40" s="25" t="s">
        <v>63</v>
      </c>
      <c r="E40" s="9">
        <v>42905</v>
      </c>
      <c r="F40" s="25" t="s">
        <v>48</v>
      </c>
      <c r="G40" s="11"/>
      <c r="H40" s="11"/>
      <c r="I40" s="11">
        <v>68.900000000000006</v>
      </c>
      <c r="J40" s="11">
        <v>6.45</v>
      </c>
      <c r="K40" s="11"/>
      <c r="L40" s="11"/>
      <c r="M40" s="11">
        <f t="shared" si="4"/>
        <v>75.350000000000009</v>
      </c>
      <c r="Q40" s="27"/>
    </row>
    <row r="41" spans="1:17" x14ac:dyDescent="0.3">
      <c r="A41" s="12" t="s">
        <v>64</v>
      </c>
      <c r="B41" s="13"/>
      <c r="C41" s="14"/>
      <c r="D41" s="15"/>
      <c r="E41" s="16"/>
      <c r="F41" s="13"/>
      <c r="G41" s="17">
        <f t="shared" ref="G41:M41" si="7">SUBTOTAL(9,G39:G40)</f>
        <v>0</v>
      </c>
      <c r="H41" s="17">
        <f t="shared" si="7"/>
        <v>0</v>
      </c>
      <c r="I41" s="17">
        <f>SUBTOTAL(9,I39:I40)</f>
        <v>137.80000000000001</v>
      </c>
      <c r="J41" s="17">
        <f t="shared" si="7"/>
        <v>12.45</v>
      </c>
      <c r="K41" s="17">
        <f t="shared" si="7"/>
        <v>0</v>
      </c>
      <c r="L41" s="17">
        <f t="shared" si="7"/>
        <v>0</v>
      </c>
      <c r="M41" s="17">
        <f t="shared" si="7"/>
        <v>150.25</v>
      </c>
      <c r="Q41" s="27"/>
    </row>
    <row r="42" spans="1:17" x14ac:dyDescent="0.3">
      <c r="A42" s="18" t="s">
        <v>65</v>
      </c>
      <c r="B42" s="19" t="s">
        <v>41</v>
      </c>
      <c r="C42" s="20"/>
      <c r="D42" s="21"/>
      <c r="E42" s="28"/>
      <c r="F42" s="19"/>
      <c r="G42" s="23"/>
      <c r="H42" s="23"/>
      <c r="I42" s="23"/>
      <c r="J42" s="23"/>
      <c r="K42" s="23"/>
      <c r="L42" s="23"/>
      <c r="M42" s="23">
        <v>0</v>
      </c>
    </row>
    <row r="43" spans="1:17" x14ac:dyDescent="0.3">
      <c r="A43" s="10" t="s">
        <v>66</v>
      </c>
      <c r="B43" s="10" t="s">
        <v>41</v>
      </c>
      <c r="C43" s="26">
        <v>42835</v>
      </c>
      <c r="D43" s="25" t="s">
        <v>37</v>
      </c>
      <c r="E43" s="9">
        <v>42809</v>
      </c>
      <c r="F43" s="11" t="s">
        <v>67</v>
      </c>
      <c r="G43" s="11"/>
      <c r="H43" s="11"/>
      <c r="I43" s="11"/>
      <c r="J43" s="11">
        <v>15.5</v>
      </c>
      <c r="K43" s="11"/>
      <c r="L43" s="11"/>
      <c r="M43" s="11">
        <f t="shared" ref="M43:M56" si="8">SUM(G43:L43)</f>
        <v>15.5</v>
      </c>
    </row>
    <row r="44" spans="1:17" x14ac:dyDescent="0.3">
      <c r="A44" s="10" t="s">
        <v>66</v>
      </c>
      <c r="B44" s="10" t="s">
        <v>41</v>
      </c>
      <c r="C44" s="9">
        <v>42872</v>
      </c>
      <c r="D44" s="25" t="s">
        <v>68</v>
      </c>
      <c r="E44" s="9">
        <v>42852</v>
      </c>
      <c r="F44" s="11" t="s">
        <v>69</v>
      </c>
      <c r="G44" s="11"/>
      <c r="H44" s="11"/>
      <c r="I44" s="11"/>
      <c r="J44" s="11"/>
      <c r="K44" s="11"/>
      <c r="L44" s="11">
        <v>90.59</v>
      </c>
      <c r="M44" s="11">
        <f t="shared" si="8"/>
        <v>90.59</v>
      </c>
    </row>
    <row r="45" spans="1:17" x14ac:dyDescent="0.3">
      <c r="A45" s="10" t="s">
        <v>66</v>
      </c>
      <c r="B45" s="10" t="s">
        <v>41</v>
      </c>
      <c r="C45" s="9" t="s">
        <v>70</v>
      </c>
      <c r="D45" s="26" t="s">
        <v>37</v>
      </c>
      <c r="E45" s="9">
        <v>42865</v>
      </c>
      <c r="F45" s="11" t="s">
        <v>67</v>
      </c>
      <c r="G45" s="11"/>
      <c r="H45" s="11"/>
      <c r="I45" s="11">
        <v>330</v>
      </c>
      <c r="J45" s="11">
        <v>16</v>
      </c>
      <c r="K45" s="11"/>
      <c r="L45" s="11"/>
      <c r="M45" s="11">
        <f t="shared" si="8"/>
        <v>346</v>
      </c>
    </row>
    <row r="46" spans="1:17" x14ac:dyDescent="0.3">
      <c r="A46" s="10" t="s">
        <v>66</v>
      </c>
      <c r="B46" s="10" t="s">
        <v>41</v>
      </c>
      <c r="C46" s="9">
        <v>42916</v>
      </c>
      <c r="D46" s="26" t="s">
        <v>68</v>
      </c>
      <c r="E46" s="9">
        <v>42880</v>
      </c>
      <c r="F46" s="11" t="s">
        <v>69</v>
      </c>
      <c r="G46" s="11"/>
      <c r="H46" s="11"/>
      <c r="I46" s="11"/>
      <c r="J46" s="11"/>
      <c r="K46" s="11"/>
      <c r="L46" s="11">
        <v>76.38</v>
      </c>
      <c r="M46" s="11">
        <f t="shared" si="8"/>
        <v>76.38</v>
      </c>
    </row>
    <row r="47" spans="1:17" x14ac:dyDescent="0.3">
      <c r="A47" s="12" t="s">
        <v>71</v>
      </c>
      <c r="B47" s="13"/>
      <c r="C47" s="14"/>
      <c r="D47" s="15"/>
      <c r="E47" s="16"/>
      <c r="F47" s="13"/>
      <c r="G47" s="17">
        <f t="shared" ref="G47:M47" si="9">SUBTOTAL(9,G43:G46)</f>
        <v>0</v>
      </c>
      <c r="H47" s="17">
        <f t="shared" si="9"/>
        <v>0</v>
      </c>
      <c r="I47" s="17">
        <f>SUBTOTAL(9,I43:I46)</f>
        <v>330</v>
      </c>
      <c r="J47" s="17">
        <f t="shared" si="9"/>
        <v>31.5</v>
      </c>
      <c r="K47" s="17">
        <f t="shared" si="9"/>
        <v>0</v>
      </c>
      <c r="L47" s="17">
        <f t="shared" si="9"/>
        <v>166.97</v>
      </c>
      <c r="M47" s="17">
        <f t="shared" si="9"/>
        <v>528.47</v>
      </c>
    </row>
    <row r="48" spans="1:17" x14ac:dyDescent="0.3">
      <c r="A48" s="10" t="s">
        <v>72</v>
      </c>
      <c r="B48" s="10" t="s">
        <v>41</v>
      </c>
      <c r="C48" s="9">
        <v>42866</v>
      </c>
      <c r="D48" s="25" t="s">
        <v>73</v>
      </c>
      <c r="E48" s="9" t="s">
        <v>74</v>
      </c>
      <c r="F48" s="11" t="s">
        <v>75</v>
      </c>
      <c r="G48" s="11"/>
      <c r="H48" s="11"/>
      <c r="I48" s="11"/>
      <c r="J48" s="11">
        <v>88.6</v>
      </c>
      <c r="K48" s="11">
        <f>23.2+147.33</f>
        <v>170.53</v>
      </c>
      <c r="L48" s="11"/>
      <c r="M48" s="11">
        <f t="shared" si="8"/>
        <v>259.13</v>
      </c>
    </row>
    <row r="49" spans="1:18" x14ac:dyDescent="0.3">
      <c r="A49" s="10" t="s">
        <v>72</v>
      </c>
      <c r="B49" s="10" t="s">
        <v>41</v>
      </c>
      <c r="C49" s="26">
        <v>42887</v>
      </c>
      <c r="D49" s="26" t="s">
        <v>37</v>
      </c>
      <c r="E49" s="9">
        <v>42865</v>
      </c>
      <c r="F49" s="11" t="s">
        <v>75</v>
      </c>
      <c r="G49" s="11"/>
      <c r="H49" s="11"/>
      <c r="I49" s="11"/>
      <c r="J49" s="11">
        <v>86.65</v>
      </c>
      <c r="K49" s="11"/>
      <c r="L49" s="11"/>
      <c r="M49" s="11">
        <f t="shared" si="8"/>
        <v>86.65</v>
      </c>
    </row>
    <row r="50" spans="1:18" x14ac:dyDescent="0.3">
      <c r="A50" s="10" t="s">
        <v>72</v>
      </c>
      <c r="B50" s="10" t="s">
        <v>41</v>
      </c>
      <c r="C50" s="26">
        <v>42887</v>
      </c>
      <c r="D50" s="26" t="s">
        <v>76</v>
      </c>
      <c r="E50" s="9">
        <v>42859</v>
      </c>
      <c r="F50" s="11" t="s">
        <v>75</v>
      </c>
      <c r="G50" s="11"/>
      <c r="H50" s="11"/>
      <c r="I50" s="11"/>
      <c r="J50" s="11">
        <v>86.65</v>
      </c>
      <c r="K50" s="11"/>
      <c r="L50" s="11"/>
      <c r="M50" s="11">
        <f t="shared" si="8"/>
        <v>86.65</v>
      </c>
    </row>
    <row r="51" spans="1:18" x14ac:dyDescent="0.3">
      <c r="A51" s="10" t="s">
        <v>72</v>
      </c>
      <c r="B51" s="10" t="s">
        <v>41</v>
      </c>
      <c r="C51" s="9" t="s">
        <v>77</v>
      </c>
      <c r="D51" s="26" t="s">
        <v>76</v>
      </c>
      <c r="E51" s="9">
        <v>42803</v>
      </c>
      <c r="F51" s="11" t="s">
        <v>75</v>
      </c>
      <c r="G51" s="11"/>
      <c r="H51" s="11"/>
      <c r="I51" s="11"/>
      <c r="J51" s="11">
        <v>41.8</v>
      </c>
      <c r="K51" s="11">
        <v>192.07</v>
      </c>
      <c r="L51" s="11"/>
      <c r="M51" s="11">
        <f t="shared" si="8"/>
        <v>233.87</v>
      </c>
    </row>
    <row r="52" spans="1:18" x14ac:dyDescent="0.3">
      <c r="A52" s="12" t="s">
        <v>78</v>
      </c>
      <c r="B52" s="13" t="s">
        <v>41</v>
      </c>
      <c r="C52" s="14"/>
      <c r="D52" s="15"/>
      <c r="E52" s="16"/>
      <c r="F52" s="13"/>
      <c r="G52" s="17">
        <f t="shared" ref="G52:M52" si="10">SUBTOTAL(9,G48:G51)</f>
        <v>0</v>
      </c>
      <c r="H52" s="17">
        <f t="shared" si="10"/>
        <v>0</v>
      </c>
      <c r="I52" s="17">
        <f>SUBTOTAL(9,I48:I51)</f>
        <v>0</v>
      </c>
      <c r="J52" s="17">
        <f t="shared" si="10"/>
        <v>303.7</v>
      </c>
      <c r="K52" s="17">
        <f t="shared" si="10"/>
        <v>362.6</v>
      </c>
      <c r="L52" s="17">
        <f t="shared" si="10"/>
        <v>0</v>
      </c>
      <c r="M52" s="17">
        <f t="shared" si="10"/>
        <v>666.3</v>
      </c>
    </row>
    <row r="53" spans="1:18" x14ac:dyDescent="0.3">
      <c r="A53" s="18" t="s">
        <v>79</v>
      </c>
      <c r="B53" s="19"/>
      <c r="C53" s="20"/>
      <c r="D53" s="21"/>
      <c r="E53" s="28"/>
      <c r="F53" s="19"/>
      <c r="G53" s="23"/>
      <c r="H53" s="23"/>
      <c r="I53" s="23"/>
      <c r="J53" s="23"/>
      <c r="K53" s="23"/>
      <c r="L53" s="23"/>
      <c r="M53" s="23"/>
    </row>
    <row r="54" spans="1:18" x14ac:dyDescent="0.3">
      <c r="A54" s="18" t="s">
        <v>80</v>
      </c>
      <c r="B54" s="19" t="s">
        <v>41</v>
      </c>
      <c r="C54" s="20"/>
      <c r="D54" s="21"/>
      <c r="E54" s="28"/>
      <c r="F54" s="19"/>
      <c r="G54" s="23"/>
      <c r="H54" s="23"/>
      <c r="I54" s="23"/>
      <c r="J54" s="23"/>
      <c r="K54" s="23"/>
      <c r="L54" s="23"/>
      <c r="M54" s="23"/>
    </row>
    <row r="55" spans="1:18" x14ac:dyDescent="0.3">
      <c r="A55" s="10" t="s">
        <v>81</v>
      </c>
      <c r="B55" s="10" t="s">
        <v>41</v>
      </c>
      <c r="C55" s="9" t="s">
        <v>82</v>
      </c>
      <c r="D55" s="25" t="s">
        <v>38</v>
      </c>
      <c r="E55" s="9" t="s">
        <v>74</v>
      </c>
      <c r="F55" s="11" t="s">
        <v>83</v>
      </c>
      <c r="G55" s="11"/>
      <c r="H55" s="11"/>
      <c r="I55" s="11">
        <f>51.35+2.4</f>
        <v>53.75</v>
      </c>
      <c r="J55" s="11">
        <v>15.5</v>
      </c>
      <c r="K55" s="11">
        <f>23.2+147.33</f>
        <v>170.53</v>
      </c>
      <c r="L55" s="11"/>
      <c r="M55" s="11">
        <f t="shared" si="8"/>
        <v>239.78</v>
      </c>
    </row>
    <row r="56" spans="1:18" x14ac:dyDescent="0.3">
      <c r="A56" s="10" t="s">
        <v>81</v>
      </c>
      <c r="B56" s="10" t="s">
        <v>41</v>
      </c>
      <c r="C56" s="26">
        <v>42887</v>
      </c>
      <c r="D56" s="25" t="s">
        <v>84</v>
      </c>
      <c r="E56" s="9" t="s">
        <v>85</v>
      </c>
      <c r="F56" s="11"/>
      <c r="G56" s="11"/>
      <c r="H56" s="11"/>
      <c r="I56" s="11">
        <v>112.3</v>
      </c>
      <c r="J56" s="11">
        <f>7.5+11</f>
        <v>18.5</v>
      </c>
      <c r="K56" s="11"/>
      <c r="L56" s="11"/>
      <c r="M56" s="11">
        <f t="shared" si="8"/>
        <v>130.80000000000001</v>
      </c>
    </row>
    <row r="57" spans="1:18" x14ac:dyDescent="0.3">
      <c r="A57" s="12" t="s">
        <v>81</v>
      </c>
      <c r="B57" s="13" t="s">
        <v>41</v>
      </c>
      <c r="C57" s="14"/>
      <c r="D57" s="15"/>
      <c r="E57" s="16"/>
      <c r="F57" s="13"/>
      <c r="G57" s="17">
        <f t="shared" ref="G57:L57" si="11">SUBTOTAL(9,G55:G56)</f>
        <v>0</v>
      </c>
      <c r="H57" s="17">
        <f t="shared" si="11"/>
        <v>0</v>
      </c>
      <c r="I57" s="17">
        <f t="shared" si="11"/>
        <v>166.05</v>
      </c>
      <c r="J57" s="17">
        <f t="shared" si="11"/>
        <v>34</v>
      </c>
      <c r="K57" s="17">
        <f t="shared" si="11"/>
        <v>170.53</v>
      </c>
      <c r="L57" s="17">
        <f t="shared" si="11"/>
        <v>0</v>
      </c>
      <c r="M57" s="17">
        <f>SUBTOTAL(9,M55:M56)</f>
        <v>370.58000000000004</v>
      </c>
    </row>
    <row r="58" spans="1:18" ht="17.25" thickBot="1" x14ac:dyDescent="0.35">
      <c r="A58" s="29"/>
      <c r="B58" s="29"/>
      <c r="C58" s="30"/>
      <c r="D58" s="29"/>
      <c r="E58" s="29"/>
      <c r="F58" s="31"/>
      <c r="G58" s="32">
        <f t="shared" ref="G58:M58" si="12">SUBTOTAL(9,G3:G57)</f>
        <v>0</v>
      </c>
      <c r="H58" s="32">
        <f t="shared" si="12"/>
        <v>0</v>
      </c>
      <c r="I58" s="32">
        <f t="shared" si="12"/>
        <v>4126.1500000000005</v>
      </c>
      <c r="J58" s="32">
        <f t="shared" si="12"/>
        <v>765.04999999999984</v>
      </c>
      <c r="K58" s="32">
        <f t="shared" si="12"/>
        <v>1091.51</v>
      </c>
      <c r="L58" s="32">
        <f t="shared" si="12"/>
        <v>166.97</v>
      </c>
      <c r="M58" s="32">
        <f t="shared" si="12"/>
        <v>6149.6800000000012</v>
      </c>
    </row>
    <row r="59" spans="1:18" ht="17.25" thickTop="1" x14ac:dyDescent="0.3">
      <c r="A59" s="33"/>
      <c r="B59" s="33"/>
      <c r="C59" s="34"/>
      <c r="D59" s="33"/>
      <c r="E59" s="33"/>
      <c r="F59" s="33"/>
      <c r="G59" s="35"/>
      <c r="H59" s="35"/>
      <c r="I59" s="35"/>
      <c r="J59" s="35"/>
      <c r="K59" s="35"/>
      <c r="L59" s="35"/>
      <c r="M59" s="35"/>
      <c r="O59" s="36"/>
      <c r="R59" s="37"/>
    </row>
    <row r="60" spans="1:18" x14ac:dyDescent="0.3">
      <c r="E60" s="38"/>
      <c r="F60" s="38"/>
      <c r="N60" s="36"/>
      <c r="O60" s="36"/>
    </row>
    <row r="61" spans="1:18" ht="17.25" thickBot="1" x14ac:dyDescent="0.35">
      <c r="A61" s="33"/>
      <c r="B61" s="33"/>
      <c r="C61" s="34"/>
      <c r="D61" s="33"/>
      <c r="E61" s="33"/>
      <c r="F61" s="33"/>
      <c r="G61" s="35"/>
      <c r="H61" s="35"/>
      <c r="I61" s="35"/>
      <c r="J61" s="35"/>
      <c r="K61" s="35"/>
      <c r="L61" s="35"/>
      <c r="M61" s="35"/>
      <c r="O61" s="36"/>
    </row>
    <row r="62" spans="1:18" ht="17.25" thickBot="1" x14ac:dyDescent="0.35">
      <c r="A62" s="33"/>
      <c r="B62" s="33"/>
      <c r="C62" s="33"/>
      <c r="D62" s="33"/>
      <c r="E62" s="33"/>
      <c r="F62" s="39" t="s">
        <v>86</v>
      </c>
      <c r="G62" s="40"/>
      <c r="H62" s="40"/>
      <c r="I62" s="40"/>
      <c r="J62" s="40"/>
      <c r="K62" s="40"/>
      <c r="L62" s="40"/>
      <c r="M62" s="41"/>
    </row>
    <row r="63" spans="1:18" ht="52.5" x14ac:dyDescent="0.3">
      <c r="A63" s="33"/>
      <c r="B63" s="33"/>
      <c r="C63" s="33"/>
      <c r="D63" s="33"/>
      <c r="E63" s="33"/>
      <c r="F63" s="42"/>
      <c r="G63" s="43" t="s">
        <v>7</v>
      </c>
      <c r="H63" s="44" t="s">
        <v>87</v>
      </c>
      <c r="I63" s="44" t="s">
        <v>88</v>
      </c>
      <c r="J63" s="44" t="s">
        <v>89</v>
      </c>
      <c r="K63" s="44" t="s">
        <v>11</v>
      </c>
      <c r="L63" s="44" t="s">
        <v>12</v>
      </c>
      <c r="M63" s="45" t="s">
        <v>90</v>
      </c>
    </row>
    <row r="64" spans="1:18" x14ac:dyDescent="0.3">
      <c r="A64" s="33"/>
      <c r="B64" s="33"/>
      <c r="C64" s="46"/>
      <c r="D64" s="33"/>
      <c r="E64" s="33"/>
      <c r="F64" s="47" t="s">
        <v>91</v>
      </c>
      <c r="G64" s="48">
        <f>G58-G65</f>
        <v>0</v>
      </c>
      <c r="H64" s="48">
        <f t="shared" ref="H64:M64" si="13">H58-H65</f>
        <v>0</v>
      </c>
      <c r="I64" s="48">
        <f t="shared" si="13"/>
        <v>3982.7500000000005</v>
      </c>
      <c r="J64" s="48">
        <f t="shared" si="13"/>
        <v>765.04999999999984</v>
      </c>
      <c r="K64" s="48">
        <f t="shared" si="13"/>
        <v>1091.51</v>
      </c>
      <c r="L64" s="48">
        <f t="shared" si="13"/>
        <v>166.97</v>
      </c>
      <c r="M64" s="48">
        <f t="shared" si="13"/>
        <v>6006.2800000000016</v>
      </c>
    </row>
    <row r="65" spans="1:14" x14ac:dyDescent="0.3">
      <c r="A65" s="33"/>
      <c r="B65" s="33"/>
      <c r="C65" s="46"/>
      <c r="D65" s="33"/>
      <c r="E65" s="33"/>
      <c r="F65" s="47" t="s">
        <v>92</v>
      </c>
      <c r="G65" s="48">
        <f t="shared" ref="G65:L65" si="14">G5</f>
        <v>0</v>
      </c>
      <c r="H65" s="48">
        <f t="shared" si="14"/>
        <v>0</v>
      </c>
      <c r="I65" s="48">
        <f t="shared" si="14"/>
        <v>143.4</v>
      </c>
      <c r="J65" s="48">
        <f t="shared" si="14"/>
        <v>0</v>
      </c>
      <c r="K65" s="48">
        <f t="shared" si="14"/>
        <v>0</v>
      </c>
      <c r="L65" s="48">
        <f t="shared" si="14"/>
        <v>0</v>
      </c>
      <c r="M65" s="48">
        <f>SUM(G65:L65)</f>
        <v>143.4</v>
      </c>
    </row>
    <row r="66" spans="1:14" x14ac:dyDescent="0.3">
      <c r="A66" s="33"/>
      <c r="B66" s="33"/>
      <c r="C66" s="46"/>
      <c r="D66" s="33"/>
      <c r="E66" s="33"/>
      <c r="F66" s="49" t="s">
        <v>93</v>
      </c>
      <c r="G66" s="50">
        <f t="shared" ref="G66:L66" si="15">SUM(G64:G65)</f>
        <v>0</v>
      </c>
      <c r="H66" s="50">
        <f t="shared" si="15"/>
        <v>0</v>
      </c>
      <c r="I66" s="50">
        <f t="shared" si="15"/>
        <v>4126.1500000000005</v>
      </c>
      <c r="J66" s="50">
        <f t="shared" si="15"/>
        <v>765.04999999999984</v>
      </c>
      <c r="K66" s="50">
        <f t="shared" si="15"/>
        <v>1091.51</v>
      </c>
      <c r="L66" s="50">
        <f t="shared" si="15"/>
        <v>166.97</v>
      </c>
      <c r="M66" s="51">
        <f>SUM(G66:L66)</f>
        <v>6149.6800000000012</v>
      </c>
      <c r="N66" s="52"/>
    </row>
    <row r="67" spans="1:14" x14ac:dyDescent="0.3">
      <c r="A67" s="33"/>
      <c r="B67" s="33"/>
      <c r="C67" s="46"/>
      <c r="D67" s="33"/>
      <c r="E67" s="33"/>
      <c r="F67" s="47" t="s">
        <v>94</v>
      </c>
      <c r="G67" s="53" t="s">
        <v>95</v>
      </c>
      <c r="H67" s="53"/>
      <c r="I67" s="53" t="s">
        <v>95</v>
      </c>
      <c r="J67" s="53" t="s">
        <v>95</v>
      </c>
      <c r="K67" s="53" t="s">
        <v>95</v>
      </c>
      <c r="L67" s="53" t="s">
        <v>95</v>
      </c>
      <c r="M67" s="48">
        <f>SUM(G67:L67)</f>
        <v>0</v>
      </c>
    </row>
    <row r="68" spans="1:14" x14ac:dyDescent="0.3">
      <c r="A68" s="33"/>
      <c r="B68" s="33"/>
      <c r="C68" s="46"/>
      <c r="D68" s="33"/>
      <c r="E68" s="33"/>
      <c r="F68" s="47" t="s">
        <v>96</v>
      </c>
      <c r="G68" s="53" t="s">
        <v>95</v>
      </c>
      <c r="H68" s="54"/>
      <c r="I68" s="53" t="s">
        <v>95</v>
      </c>
      <c r="J68" s="53" t="s">
        <v>95</v>
      </c>
      <c r="K68" s="53" t="s">
        <v>95</v>
      </c>
      <c r="L68" s="53" t="s">
        <v>95</v>
      </c>
      <c r="M68" s="48">
        <f>SUM(G68:L68)</f>
        <v>0</v>
      </c>
    </row>
    <row r="69" spans="1:14" ht="17.25" thickBot="1" x14ac:dyDescent="0.35">
      <c r="A69" s="33"/>
      <c r="B69" s="33"/>
      <c r="C69" s="46"/>
      <c r="D69" s="33"/>
      <c r="E69" s="33"/>
      <c r="F69" s="55" t="s">
        <v>97</v>
      </c>
      <c r="G69" s="56">
        <f t="shared" ref="G69:L69" si="16">SUM(G66:G68)</f>
        <v>0</v>
      </c>
      <c r="H69" s="56">
        <f t="shared" si="16"/>
        <v>0</v>
      </c>
      <c r="I69" s="56">
        <f t="shared" si="16"/>
        <v>4126.1500000000005</v>
      </c>
      <c r="J69" s="56">
        <f t="shared" si="16"/>
        <v>765.04999999999984</v>
      </c>
      <c r="K69" s="56">
        <f t="shared" si="16"/>
        <v>1091.51</v>
      </c>
      <c r="L69" s="56">
        <f t="shared" si="16"/>
        <v>166.97</v>
      </c>
      <c r="M69" s="57">
        <f>SUM(G69:L69)</f>
        <v>6149.6800000000012</v>
      </c>
    </row>
    <row r="70" spans="1:14" x14ac:dyDescent="0.3">
      <c r="A70" s="33"/>
      <c r="B70" s="33"/>
      <c r="C70" s="33"/>
      <c r="D70" s="33"/>
      <c r="E70" s="33"/>
      <c r="F70" s="33"/>
      <c r="G70" s="35"/>
      <c r="H70" s="35"/>
      <c r="I70" s="35"/>
      <c r="J70" s="35"/>
      <c r="K70" s="35"/>
      <c r="L70" s="35"/>
      <c r="M70" s="35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3AD1-D30E-484B-8070-605620C7EC4F}">
  <dimension ref="A1:R26"/>
  <sheetViews>
    <sheetView workbookViewId="0">
      <selection activeCell="L23" sqref="G23:L23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7" ht="23.25" x14ac:dyDescent="0.35">
      <c r="A1" s="1" t="s">
        <v>273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7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7" s="70" customFormat="1" x14ac:dyDescent="0.3">
      <c r="A3" s="64" t="s">
        <v>20</v>
      </c>
      <c r="B3" s="65" t="s">
        <v>15</v>
      </c>
      <c r="C3" s="66"/>
      <c r="D3" s="67"/>
      <c r="E3" s="68"/>
      <c r="F3" s="65"/>
      <c r="G3" s="69">
        <f>'Apr - Jun 2018'!G5+'Jul- Sep 2018'!G5+'Oct - Dec 2018'!G5+'Jan - Mar 2019'!G7</f>
        <v>172.56</v>
      </c>
      <c r="H3" s="69">
        <f>'Apr - Jun 2018'!H5+'Jul- Sep 2018'!H5+'Oct - Dec 2018'!H5+'Jan - Mar 2019'!H7</f>
        <v>0</v>
      </c>
      <c r="I3" s="69">
        <f>'Apr - Jun 2018'!I5+'Jul- Sep 2018'!I5+'Oct - Dec 2018'!I5+'Jan - Mar 2019'!I7</f>
        <v>196.9</v>
      </c>
      <c r="J3" s="69">
        <f>'Apr - Jun 2018'!J5+'Jul- Sep 2018'!J5+'Oct - Dec 2018'!J5+'Jan - Mar 2019'!J7</f>
        <v>0</v>
      </c>
      <c r="K3" s="69">
        <f>'Apr - Jun 2018'!K5+'Jul- Sep 2018'!K5+'Oct - Dec 2018'!K5+'Jan - Mar 2019'!K7</f>
        <v>219.9</v>
      </c>
      <c r="L3" s="69">
        <f>'Apr - Jun 2018'!L5+'Jul- Sep 2018'!L5+'Oct - Dec 2018'!L5+'Jan - Mar 2019'!L7</f>
        <v>0</v>
      </c>
      <c r="M3" s="69">
        <f t="shared" ref="M3:M4" si="0">SUM(G3:L3)</f>
        <v>589.36</v>
      </c>
    </row>
    <row r="4" spans="1:17" s="70" customFormat="1" x14ac:dyDescent="0.3">
      <c r="A4" s="64" t="s">
        <v>161</v>
      </c>
      <c r="B4" s="65" t="s">
        <v>291</v>
      </c>
      <c r="C4" s="66"/>
      <c r="D4" s="67"/>
      <c r="E4" s="68"/>
      <c r="F4" s="65"/>
      <c r="G4" s="69">
        <f>'Apr - Jun 2018'!G10+'Jul- Sep 2018'!G10</f>
        <v>0</v>
      </c>
      <c r="H4" s="69">
        <f>'Apr - Jun 2018'!H10+'Jul- Sep 2018'!H10</f>
        <v>0</v>
      </c>
      <c r="I4" s="69">
        <f>'Apr - Jun 2018'!I10+'Jul- Sep 2018'!I10</f>
        <v>0</v>
      </c>
      <c r="J4" s="69">
        <f>'Apr - Jun 2018'!J10+'Jul- Sep 2018'!J10</f>
        <v>0</v>
      </c>
      <c r="K4" s="69">
        <f>'Apr - Jun 2018'!K10+'Jul- Sep 2018'!K10</f>
        <v>0</v>
      </c>
      <c r="L4" s="69">
        <f>'Apr - Jun 2018'!L10+'Jul- Sep 2018'!L10</f>
        <v>0</v>
      </c>
      <c r="M4" s="69">
        <f t="shared" si="0"/>
        <v>0</v>
      </c>
    </row>
    <row r="5" spans="1:17" s="70" customFormat="1" x14ac:dyDescent="0.3">
      <c r="A5" s="64" t="s">
        <v>124</v>
      </c>
      <c r="B5" s="65" t="s">
        <v>291</v>
      </c>
      <c r="C5" s="66"/>
      <c r="D5" s="67"/>
      <c r="E5" s="68"/>
      <c r="F5" s="65"/>
      <c r="G5" s="69">
        <f>'Apr - Jun 2018'!G7+'Jul- Sep 2018'!G7+'Oct - Dec 2018'!G7+'Jan - Mar 2019'!G9</f>
        <v>0</v>
      </c>
      <c r="H5" s="69">
        <f>'Apr - Jun 2018'!H7+'Jul- Sep 2018'!H7+'Oct - Dec 2018'!H7+'Jan - Mar 2019'!H9</f>
        <v>0</v>
      </c>
      <c r="I5" s="69">
        <f>'Apr - Jun 2018'!I7+'Jul- Sep 2018'!I7+'Oct - Dec 2018'!I7+'Jan - Mar 2019'!I9</f>
        <v>64.5</v>
      </c>
      <c r="J5" s="69">
        <f>'Apr - Jun 2018'!J7+'Jul- Sep 2018'!J7+'Oct - Dec 2018'!J7+'Jan - Mar 2019'!J9</f>
        <v>0</v>
      </c>
      <c r="K5" s="69">
        <f>'Apr - Jun 2018'!K7+'Jul- Sep 2018'!K7+'Oct - Dec 2018'!K7+'Jan - Mar 2019'!K9</f>
        <v>0</v>
      </c>
      <c r="L5" s="69">
        <f>'Apr - Jun 2018'!L7+'Jul- Sep 2018'!L7+'Oct - Dec 2018'!L7+'Jan - Mar 2019'!L9</f>
        <v>0</v>
      </c>
      <c r="M5" s="69">
        <f>SUM(G5:L5)</f>
        <v>64.5</v>
      </c>
    </row>
    <row r="6" spans="1:17" s="70" customFormat="1" x14ac:dyDescent="0.3">
      <c r="A6" s="64" t="s">
        <v>292</v>
      </c>
      <c r="B6" s="65" t="s">
        <v>291</v>
      </c>
      <c r="C6" s="66"/>
      <c r="D6" s="67"/>
      <c r="E6" s="68"/>
      <c r="F6" s="65"/>
      <c r="G6" s="69"/>
      <c r="H6" s="69"/>
      <c r="I6" s="69"/>
      <c r="J6" s="69"/>
      <c r="K6" s="69"/>
      <c r="L6" s="69"/>
      <c r="M6" s="69">
        <f>SUM(G6:L6)</f>
        <v>0</v>
      </c>
    </row>
    <row r="7" spans="1:17" x14ac:dyDescent="0.3">
      <c r="A7" s="12" t="s">
        <v>279</v>
      </c>
      <c r="B7" s="13" t="s">
        <v>41</v>
      </c>
      <c r="C7" s="14"/>
      <c r="D7" s="15"/>
      <c r="E7" s="16"/>
      <c r="F7" s="13"/>
      <c r="G7" s="17">
        <f>'Apr - Jun 2018'!G25+'Jul- Sep 2018'!G22+'Oct - Dec 2018'!G21+'Jan - Mar 2019'!G24</f>
        <v>85.94</v>
      </c>
      <c r="H7" s="17">
        <f>'Apr - Jun 2018'!H25+'Jul- Sep 2018'!H22+'Oct - Dec 2018'!H21+'Jan - Mar 2019'!H24</f>
        <v>0</v>
      </c>
      <c r="I7" s="17">
        <f>'Apr - Jun 2018'!I25+'Jul- Sep 2018'!I22+'Oct - Dec 2018'!I21+'Jan - Mar 2019'!I24</f>
        <v>10508.6</v>
      </c>
      <c r="J7" s="17">
        <f>'Apr - Jun 2018'!J25+'Jul- Sep 2018'!J22+'Oct - Dec 2018'!J21+'Jan - Mar 2019'!J24</f>
        <v>1716.1999999999998</v>
      </c>
      <c r="K7" s="17">
        <f>'Apr - Jun 2018'!K25+'Jul- Sep 2018'!K22+'Oct - Dec 2018'!K21+'Jan - Mar 2019'!K24</f>
        <v>1471.5700000000002</v>
      </c>
      <c r="L7" s="17">
        <f>'Apr - Jun 2018'!L25+'Jul- Sep 2018'!L22+'Oct - Dec 2018'!L21+'Jan - Mar 2019'!L24</f>
        <v>0</v>
      </c>
      <c r="M7" s="17">
        <f t="shared" ref="M7:M18" si="1">SUM(G7:L7)</f>
        <v>13782.310000000001</v>
      </c>
    </row>
    <row r="8" spans="1:17" x14ac:dyDescent="0.3">
      <c r="A8" s="12" t="s">
        <v>195</v>
      </c>
      <c r="B8" s="13" t="s">
        <v>41</v>
      </c>
      <c r="C8" s="14"/>
      <c r="D8" s="15"/>
      <c r="E8" s="16"/>
      <c r="F8" s="13"/>
      <c r="G8" s="17">
        <f>'Apr - Jun 2018'!G28+'Oct - Dec 2018'!G25+'Jan - Mar 2019'!G29</f>
        <v>0</v>
      </c>
      <c r="H8" s="17">
        <f>'Apr - Jun 2018'!H28+'Oct - Dec 2018'!H25+'Jan - Mar 2019'!H29</f>
        <v>0</v>
      </c>
      <c r="I8" s="17">
        <f>'Apr - Jun 2018'!I28+'Oct - Dec 2018'!I25+'Jan - Mar 2019'!I29</f>
        <v>83.600000000000009</v>
      </c>
      <c r="J8" s="17">
        <f>'Apr - Jun 2018'!J28+'Oct - Dec 2018'!J25+'Jan - Mar 2019'!J29</f>
        <v>0</v>
      </c>
      <c r="K8" s="17">
        <f>'Apr - Jun 2018'!K28+'Oct - Dec 2018'!K25+'Jan - Mar 2019'!K29</f>
        <v>21</v>
      </c>
      <c r="L8" s="17">
        <f>'Apr - Jun 2018'!L28+'Oct - Dec 2018'!L25+'Jan - Mar 2019'!L29</f>
        <v>0</v>
      </c>
      <c r="M8" s="17">
        <f t="shared" si="1"/>
        <v>104.60000000000001</v>
      </c>
    </row>
    <row r="9" spans="1:17" x14ac:dyDescent="0.3">
      <c r="A9" s="12" t="s">
        <v>280</v>
      </c>
      <c r="B9" s="13" t="s">
        <v>41</v>
      </c>
      <c r="C9" s="16"/>
      <c r="D9" s="15"/>
      <c r="E9" s="16"/>
      <c r="F9" s="13"/>
      <c r="G9" s="17">
        <f>'Apr - Jun 2018'!G30+'Jul- Sep 2018'!G31+'Oct - Dec 2018'!G31+'Jan - Mar 2019'!G35</f>
        <v>0</v>
      </c>
      <c r="H9" s="17">
        <f>'Apr - Jun 2018'!H30+'Jul- Sep 2018'!H31+'Oct - Dec 2018'!H31+'Jan - Mar 2019'!H35</f>
        <v>0</v>
      </c>
      <c r="I9" s="17">
        <f>'Apr - Jun 2018'!I30+'Jul- Sep 2018'!I31+'Oct - Dec 2018'!I31+'Jan - Mar 2019'!I35</f>
        <v>801.63000000000011</v>
      </c>
      <c r="J9" s="17">
        <f>'Apr - Jun 2018'!J30+'Jul- Sep 2018'!J31+'Oct - Dec 2018'!J31+'Jan - Mar 2019'!J35</f>
        <v>86.8</v>
      </c>
      <c r="K9" s="17">
        <f>'Apr - Jun 2018'!K30+'Jul- Sep 2018'!K31+'Oct - Dec 2018'!K31+'Jan - Mar 2019'!K35</f>
        <v>2</v>
      </c>
      <c r="L9" s="17">
        <f>'Apr - Jun 2018'!L30+'Jul- Sep 2018'!L31+'Oct - Dec 2018'!L31+'Jan - Mar 2019'!L35</f>
        <v>4.8</v>
      </c>
      <c r="M9" s="17">
        <f t="shared" si="1"/>
        <v>895.23</v>
      </c>
    </row>
    <row r="10" spans="1:17" x14ac:dyDescent="0.3">
      <c r="A10" s="12" t="s">
        <v>281</v>
      </c>
      <c r="B10" s="13" t="s">
        <v>41</v>
      </c>
      <c r="C10" s="14"/>
      <c r="D10" s="15"/>
      <c r="E10" s="16"/>
      <c r="F10" s="13"/>
      <c r="G10" s="17">
        <f>'Oct - Dec 2018'!G34+'Jan - Mar 2019'!G40</f>
        <v>0</v>
      </c>
      <c r="H10" s="17">
        <f>'Oct - Dec 2018'!H34+'Jan - Mar 2019'!H40</f>
        <v>0</v>
      </c>
      <c r="I10" s="17">
        <f>'Oct - Dec 2018'!I34+'Jan - Mar 2019'!I40</f>
        <v>642.70000000000005</v>
      </c>
      <c r="J10" s="17">
        <f>'Oct - Dec 2018'!J34+'Jan - Mar 2019'!J40</f>
        <v>67.5</v>
      </c>
      <c r="K10" s="17">
        <f>'Oct - Dec 2018'!K34+'Jan - Mar 2019'!K40</f>
        <v>175.81</v>
      </c>
      <c r="L10" s="17">
        <f>'Oct - Dec 2018'!L34+'Jan - Mar 2019'!L40</f>
        <v>0</v>
      </c>
      <c r="M10" s="17">
        <f t="shared" si="1"/>
        <v>886.01</v>
      </c>
    </row>
    <row r="11" spans="1:17" x14ac:dyDescent="0.3">
      <c r="A11" s="12" t="s">
        <v>285</v>
      </c>
      <c r="B11" s="13" t="s">
        <v>41</v>
      </c>
      <c r="C11" s="14"/>
      <c r="D11" s="15"/>
      <c r="E11" s="16"/>
      <c r="F11" s="13"/>
      <c r="G11" s="17">
        <f>'Oct - Dec 2018'!G39+'Jan - Mar 2019'!G46</f>
        <v>0</v>
      </c>
      <c r="H11" s="17">
        <f>'Oct - Dec 2018'!H39+'Jan - Mar 2019'!H46</f>
        <v>0</v>
      </c>
      <c r="I11" s="17">
        <f>'Oct - Dec 2018'!I39+'Jan - Mar 2019'!I46</f>
        <v>1913</v>
      </c>
      <c r="J11" s="17">
        <f>'Oct - Dec 2018'!J39+'Jan - Mar 2019'!J46</f>
        <v>15</v>
      </c>
      <c r="K11" s="17">
        <f>'Oct - Dec 2018'!K39+'Jan - Mar 2019'!K46</f>
        <v>170.01</v>
      </c>
      <c r="L11" s="17">
        <f>'Oct - Dec 2018'!L39+'Jan - Mar 2019'!L46</f>
        <v>0</v>
      </c>
      <c r="M11" s="17">
        <f t="shared" si="1"/>
        <v>2098.0100000000002</v>
      </c>
    </row>
    <row r="12" spans="1:17" x14ac:dyDescent="0.3">
      <c r="A12" s="12" t="s">
        <v>282</v>
      </c>
      <c r="B12" s="13" t="s">
        <v>41</v>
      </c>
      <c r="C12" s="14"/>
      <c r="D12" s="15"/>
      <c r="E12" s="16"/>
      <c r="F12" s="13"/>
      <c r="G12" s="17">
        <f>'Apr - Jun 2018'!G60+'Jul- Sep 2018'!G60+'Jan - Mar 2019'!G75</f>
        <v>0</v>
      </c>
      <c r="H12" s="17">
        <f>'Apr - Jun 2018'!H60+'Jul- Sep 2018'!H60+'Jan - Mar 2019'!H75</f>
        <v>0</v>
      </c>
      <c r="I12" s="17">
        <f>'Apr - Jun 2018'!I60+'Jul- Sep 2018'!I60+'Jan - Mar 2019'!I75</f>
        <v>362.15</v>
      </c>
      <c r="J12" s="17">
        <f>'Apr - Jun 2018'!J60+'Jul- Sep 2018'!J60+'Jan - Mar 2019'!J75</f>
        <v>49.35</v>
      </c>
      <c r="K12" s="17">
        <f>'Apr - Jun 2018'!K60+'Jul- Sep 2018'!K60+'Jan - Mar 2019'!K75</f>
        <v>21</v>
      </c>
      <c r="L12" s="17">
        <f>'Apr - Jun 2018'!L60+'Jul- Sep 2018'!L60+'Jan - Mar 2019'!L75</f>
        <v>0</v>
      </c>
      <c r="M12" s="17">
        <f t="shared" ref="M12" si="2">SUM(G12:L12)</f>
        <v>432.5</v>
      </c>
      <c r="N12" s="3" t="s">
        <v>286</v>
      </c>
    </row>
    <row r="13" spans="1:17" x14ac:dyDescent="0.3">
      <c r="A13" s="12" t="s">
        <v>283</v>
      </c>
      <c r="B13" s="13" t="s">
        <v>41</v>
      </c>
      <c r="C13" s="16"/>
      <c r="D13" s="15"/>
      <c r="E13" s="16"/>
      <c r="F13" s="13"/>
      <c r="G13" s="17">
        <f>'Apr - Jun 2018'!G40+'Jul- Sep 2018'!G38+'Oct - Dec 2018'!G45+'Jan - Mar 2019'!G60</f>
        <v>0</v>
      </c>
      <c r="H13" s="17">
        <f>'Apr - Jun 2018'!H40+'Jul- Sep 2018'!H38+'Oct - Dec 2018'!H45+'Jan - Mar 2019'!H60</f>
        <v>0</v>
      </c>
      <c r="I13" s="17">
        <f>'Apr - Jun 2018'!I40+'Jul- Sep 2018'!I38+'Oct - Dec 2018'!I45+'Jan - Mar 2019'!I60</f>
        <v>1537.1000000000001</v>
      </c>
      <c r="J13" s="17">
        <f>'Apr - Jun 2018'!J40+'Jul- Sep 2018'!J38+'Oct - Dec 2018'!J45+'Jan - Mar 2019'!J60</f>
        <v>13</v>
      </c>
      <c r="K13" s="17">
        <f>'Apr - Jun 2018'!K40+'Jul- Sep 2018'!K38+'Oct - Dec 2018'!K45+'Jan - Mar 2019'!K60</f>
        <v>21</v>
      </c>
      <c r="L13" s="17">
        <f>'Apr - Jun 2018'!L40+'Jul- Sep 2018'!L38+'Oct - Dec 2018'!L45+'Jan - Mar 2019'!L60</f>
        <v>0</v>
      </c>
      <c r="M13" s="17">
        <f t="shared" si="1"/>
        <v>1571.1000000000001</v>
      </c>
    </row>
    <row r="14" spans="1:17" x14ac:dyDescent="0.3">
      <c r="A14" s="12" t="s">
        <v>61</v>
      </c>
      <c r="B14" s="13" t="s">
        <v>41</v>
      </c>
      <c r="C14" s="14"/>
      <c r="D14" s="15"/>
      <c r="E14" s="16"/>
      <c r="F14" s="13"/>
      <c r="G14" s="17">
        <f>'Apr - Jun 2018'!G42+'Jul- Sep 2018'!G44+'Oct - Dec 2018'!G48+'Jan - Mar 2019'!G62</f>
        <v>0</v>
      </c>
      <c r="H14" s="17">
        <f>'Apr - Jun 2018'!H42+'Jul- Sep 2018'!H44+'Oct - Dec 2018'!H48+'Jan - Mar 2019'!H62</f>
        <v>0</v>
      </c>
      <c r="I14" s="17">
        <f>'Apr - Jun 2018'!I42+'Jul- Sep 2018'!I44+'Oct - Dec 2018'!I48+'Jan - Mar 2019'!I62</f>
        <v>516.29999999999995</v>
      </c>
      <c r="J14" s="17">
        <f>'Apr - Jun 2018'!J42+'Jul- Sep 2018'!J44+'Oct - Dec 2018'!J48+'Jan - Mar 2019'!J62</f>
        <v>118.18</v>
      </c>
      <c r="K14" s="17">
        <f>'Apr - Jun 2018'!K42+'Jul- Sep 2018'!K44+'Oct - Dec 2018'!K48+'Jan - Mar 2019'!K62</f>
        <v>189.6</v>
      </c>
      <c r="L14" s="17">
        <f>'Apr - Jun 2018'!L42+'Jul- Sep 2018'!L44+'Oct - Dec 2018'!L48+'Jan - Mar 2019'!L62</f>
        <v>0</v>
      </c>
      <c r="M14" s="17">
        <f t="shared" si="1"/>
        <v>824.08</v>
      </c>
      <c r="Q14" s="27"/>
    </row>
    <row r="15" spans="1:17" x14ac:dyDescent="0.3">
      <c r="A15" s="12" t="s">
        <v>231</v>
      </c>
      <c r="B15" s="13" t="s">
        <v>41</v>
      </c>
      <c r="C15" s="14"/>
      <c r="D15" s="15"/>
      <c r="E15" s="16"/>
      <c r="F15" s="13"/>
      <c r="G15" s="17">
        <f>'Oct - Dec 2018'!G58</f>
        <v>0</v>
      </c>
      <c r="H15" s="17">
        <f>'Oct - Dec 2018'!H58</f>
        <v>0</v>
      </c>
      <c r="I15" s="17">
        <f>'Oct - Dec 2018'!I58</f>
        <v>205.2</v>
      </c>
      <c r="J15" s="17">
        <f>'Oct - Dec 2018'!J58</f>
        <v>0</v>
      </c>
      <c r="K15" s="17">
        <f>'Oct - Dec 2018'!K58</f>
        <v>0</v>
      </c>
      <c r="L15" s="17">
        <f>'Oct - Dec 2018'!L58</f>
        <v>0</v>
      </c>
      <c r="M15" s="17">
        <f t="shared" si="1"/>
        <v>205.2</v>
      </c>
      <c r="Q15" s="27"/>
    </row>
    <row r="16" spans="1:17" x14ac:dyDescent="0.3">
      <c r="A16" s="12" t="s">
        <v>274</v>
      </c>
      <c r="B16" s="13" t="s">
        <v>41</v>
      </c>
      <c r="C16" s="14"/>
      <c r="D16" s="15"/>
      <c r="E16" s="16"/>
      <c r="F16" s="13"/>
      <c r="G16" s="17"/>
      <c r="H16" s="17">
        <f>'Jul- Sep 2018'!G45</f>
        <v>0</v>
      </c>
      <c r="I16" s="17">
        <f>'Jul- Sep 2018'!H45</f>
        <v>0</v>
      </c>
      <c r="J16" s="17">
        <f>'Jul- Sep 2018'!I45</f>
        <v>0</v>
      </c>
      <c r="K16" s="17">
        <f>'Jul- Sep 2018'!J45</f>
        <v>0</v>
      </c>
      <c r="L16" s="17">
        <f>'Jul- Sep 2018'!K45</f>
        <v>0</v>
      </c>
      <c r="M16" s="17">
        <f t="shared" si="1"/>
        <v>0</v>
      </c>
      <c r="Q16" s="27"/>
    </row>
    <row r="17" spans="1:18" x14ac:dyDescent="0.3">
      <c r="A17" s="12" t="s">
        <v>284</v>
      </c>
      <c r="B17" s="13" t="s">
        <v>41</v>
      </c>
      <c r="C17" s="14"/>
      <c r="D17" s="15"/>
      <c r="E17" s="16"/>
      <c r="F17" s="13"/>
      <c r="G17" s="17">
        <f>'Apr - Jun 2018'!G45+'Jul- Sep 2018'!G50+'Oct - Dec 2018'!G56+'Jan - Mar 2019'!G65</f>
        <v>0</v>
      </c>
      <c r="H17" s="17">
        <f>'Apr - Jun 2018'!H45+'Jul- Sep 2018'!H50+'Oct - Dec 2018'!H56+'Jan - Mar 2019'!H65</f>
        <v>559.48</v>
      </c>
      <c r="I17" s="17">
        <f>'Apr - Jun 2018'!I45+'Jul- Sep 2018'!I50+'Oct - Dec 2018'!I56+'Jan - Mar 2019'!I65</f>
        <v>1733</v>
      </c>
      <c r="J17" s="17">
        <f>'Apr - Jun 2018'!J45+'Jul- Sep 2018'!J50+'Oct - Dec 2018'!J56+'Jan - Mar 2019'!J65</f>
        <v>95.15</v>
      </c>
      <c r="K17" s="17">
        <f>'Apr - Jun 2018'!K45+'Jul- Sep 2018'!K50+'Oct - Dec 2018'!K56+'Jan - Mar 2019'!K65</f>
        <v>34.340000000000003</v>
      </c>
      <c r="L17" s="17">
        <f>'Apr - Jun 2018'!L45+'Jul- Sep 2018'!L50+'Oct - Dec 2018'!L56+'Jan - Mar 2019'!L65</f>
        <v>0</v>
      </c>
      <c r="M17" s="17">
        <f t="shared" si="1"/>
        <v>2421.9700000000003</v>
      </c>
    </row>
    <row r="18" spans="1:18" x14ac:dyDescent="0.3">
      <c r="A18" s="12" t="s">
        <v>72</v>
      </c>
      <c r="B18" s="13" t="s">
        <v>41</v>
      </c>
      <c r="C18" s="14"/>
      <c r="D18" s="15"/>
      <c r="E18" s="16"/>
      <c r="F18" s="13"/>
      <c r="G18" s="17">
        <f>'Apr - Jun 2018'!G47+'Jul- Sep 2018'!G54</f>
        <v>0</v>
      </c>
      <c r="H18" s="17">
        <f>'Apr - Jun 2018'!H47+'Jul- Sep 2018'!H54</f>
        <v>0</v>
      </c>
      <c r="I18" s="17">
        <f>'Apr - Jun 2018'!I47+'Jul- Sep 2018'!I54</f>
        <v>176.4</v>
      </c>
      <c r="J18" s="17">
        <f>'Apr - Jun 2018'!J47+'Jul- Sep 2018'!J54</f>
        <v>0</v>
      </c>
      <c r="K18" s="17">
        <f>'Apr - Jun 2018'!K47+'Jul- Sep 2018'!K54</f>
        <v>21</v>
      </c>
      <c r="L18" s="17">
        <f>'Apr - Jun 2018'!L47+'Jul- Sep 2018'!L54</f>
        <v>0</v>
      </c>
      <c r="M18" s="17">
        <f t="shared" si="1"/>
        <v>197.4</v>
      </c>
    </row>
    <row r="19" spans="1:18" x14ac:dyDescent="0.3">
      <c r="A19" s="12" t="s">
        <v>80</v>
      </c>
      <c r="B19" s="13" t="s">
        <v>41</v>
      </c>
      <c r="C19" s="14"/>
      <c r="D19" s="15"/>
      <c r="E19" s="16"/>
      <c r="F19" s="13"/>
      <c r="G19" s="17">
        <f>'Apr - Jun 2018'!G56+'Jul- Sep 2018'!G57+'Oct - Dec 2018'!G65+'Jan - Mar 2019'!G71</f>
        <v>0</v>
      </c>
      <c r="H19" s="17">
        <f>'Apr - Jun 2018'!H56+'Jul- Sep 2018'!H57+'Oct - Dec 2018'!H65+'Jan - Mar 2019'!H71</f>
        <v>0</v>
      </c>
      <c r="I19" s="17">
        <f>'Apr - Jun 2018'!I56+'Jul- Sep 2018'!I57+'Oct - Dec 2018'!I65+'Jan - Mar 2019'!I71</f>
        <v>964.4</v>
      </c>
      <c r="J19" s="17">
        <f>'Apr - Jun 2018'!J56+'Jul- Sep 2018'!J57+'Oct - Dec 2018'!J65+'Jan - Mar 2019'!J71</f>
        <v>55.800000000000004</v>
      </c>
      <c r="K19" s="17">
        <f>'Apr - Jun 2018'!K56+'Jul- Sep 2018'!K57+'Oct - Dec 2018'!K65+'Jan - Mar 2019'!K71</f>
        <v>751.68000000000006</v>
      </c>
      <c r="L19" s="17">
        <f>'Apr - Jun 2018'!L56+'Jul- Sep 2018'!L57+'Oct - Dec 2018'!L65+'Jan - Mar 2019'!L71</f>
        <v>168.94</v>
      </c>
      <c r="M19" s="17">
        <f>SUM(G19:L19)</f>
        <v>1940.8200000000002</v>
      </c>
    </row>
    <row r="20" spans="1:18" x14ac:dyDescent="0.3">
      <c r="A20" s="12"/>
      <c r="B20" s="13"/>
      <c r="C20" s="14"/>
      <c r="D20" s="15"/>
      <c r="E20" s="16"/>
      <c r="F20" s="13"/>
      <c r="G20" s="17"/>
      <c r="H20" s="17"/>
      <c r="I20" s="17"/>
      <c r="J20" s="17"/>
      <c r="K20" s="17"/>
      <c r="L20" s="17"/>
      <c r="M20" s="17"/>
    </row>
    <row r="21" spans="1:18" x14ac:dyDescent="0.3">
      <c r="A21" s="12"/>
      <c r="B21" s="13"/>
      <c r="C21" s="14"/>
      <c r="D21" s="15"/>
      <c r="E21" s="16"/>
      <c r="F21" s="13"/>
      <c r="G21" s="17"/>
      <c r="H21" s="17"/>
      <c r="I21" s="17"/>
      <c r="J21" s="17"/>
      <c r="K21" s="17"/>
      <c r="L21" s="17"/>
      <c r="M21" s="17"/>
    </row>
    <row r="22" spans="1:18" x14ac:dyDescent="0.3">
      <c r="A22" s="12"/>
      <c r="B22" s="13"/>
      <c r="C22" s="14"/>
      <c r="D22" s="15"/>
      <c r="E22" s="16"/>
      <c r="F22" s="13"/>
      <c r="G22" s="17"/>
      <c r="H22" s="17"/>
      <c r="I22" s="17"/>
      <c r="J22" s="17"/>
      <c r="K22" s="17"/>
      <c r="L22" s="17"/>
      <c r="M22" s="17"/>
    </row>
    <row r="23" spans="1:18" ht="17.25" thickBot="1" x14ac:dyDescent="0.35">
      <c r="A23" s="29"/>
      <c r="B23" s="29"/>
      <c r="C23" s="30"/>
      <c r="D23" s="29"/>
      <c r="E23" s="29"/>
      <c r="F23" s="31"/>
      <c r="G23" s="32">
        <f t="shared" ref="G23:L23" si="3">SUM(G3:G22)</f>
        <v>258.5</v>
      </c>
      <c r="H23" s="32">
        <f t="shared" si="3"/>
        <v>559.48</v>
      </c>
      <c r="I23" s="32">
        <f t="shared" si="3"/>
        <v>19705.480000000003</v>
      </c>
      <c r="J23" s="32">
        <f t="shared" si="3"/>
        <v>2216.98</v>
      </c>
      <c r="K23" s="32">
        <f t="shared" si="3"/>
        <v>3098.91</v>
      </c>
      <c r="L23" s="32">
        <f t="shared" si="3"/>
        <v>173.74</v>
      </c>
      <c r="M23" s="32">
        <f>SUM(M3:M22)</f>
        <v>26013.090000000007</v>
      </c>
      <c r="O23" s="59"/>
    </row>
    <row r="24" spans="1:18" ht="17.25" thickTop="1" x14ac:dyDescent="0.3">
      <c r="A24" s="33"/>
      <c r="B24" s="33"/>
      <c r="C24" s="34"/>
      <c r="D24" s="33"/>
      <c r="E24" s="33"/>
      <c r="F24" s="33"/>
      <c r="G24" s="35"/>
      <c r="H24" s="35"/>
      <c r="I24" s="35"/>
      <c r="J24" s="35"/>
      <c r="K24" s="35"/>
      <c r="L24" s="35"/>
      <c r="M24" s="35"/>
      <c r="O24" s="36"/>
      <c r="R24" s="37"/>
    </row>
    <row r="25" spans="1:18" x14ac:dyDescent="0.3">
      <c r="E25" s="38"/>
      <c r="F25" s="38"/>
      <c r="G25" s="59"/>
      <c r="L25" s="36"/>
      <c r="N25" s="36"/>
      <c r="O25" s="36"/>
    </row>
    <row r="26" spans="1:18" x14ac:dyDescent="0.3">
      <c r="A26" s="33"/>
      <c r="B26" s="33"/>
      <c r="C26" s="34"/>
      <c r="D26" s="33"/>
      <c r="E26" s="33"/>
      <c r="F26" s="33"/>
      <c r="G26" s="35"/>
      <c r="H26" s="35"/>
      <c r="I26" s="35"/>
      <c r="J26" s="35"/>
      <c r="K26" s="35"/>
      <c r="L26" s="35"/>
      <c r="M26" s="35"/>
      <c r="O26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4"/>
  <sheetViews>
    <sheetView zoomScale="85" zoomScaleNormal="85" workbookViewId="0">
      <pane xSplit="1" ySplit="2" topLeftCell="B48" activePane="bottomRight" state="frozen"/>
      <selection activeCell="F62" sqref="F62:M69"/>
      <selection pane="topRight" activeCell="F62" sqref="F62:M69"/>
      <selection pane="bottomLeft" activeCell="F62" sqref="F62:M69"/>
      <selection pane="bottomRight" activeCell="F62" sqref="F62:M69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6" ht="23.25" x14ac:dyDescent="0.35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6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6" x14ac:dyDescent="0.3">
      <c r="A3" s="8" t="s">
        <v>14</v>
      </c>
      <c r="B3" s="8" t="s">
        <v>15</v>
      </c>
      <c r="C3" s="9">
        <v>42961</v>
      </c>
      <c r="D3" s="8" t="s">
        <v>168</v>
      </c>
      <c r="E3" s="9">
        <v>42929</v>
      </c>
      <c r="F3" s="10" t="s">
        <v>146</v>
      </c>
      <c r="G3" s="11"/>
      <c r="H3" s="11"/>
      <c r="I3" s="11">
        <v>123</v>
      </c>
      <c r="J3" s="11"/>
      <c r="K3" s="11"/>
      <c r="L3" s="11"/>
      <c r="M3" s="11">
        <f>SUM(G3:L3)</f>
        <v>123</v>
      </c>
    </row>
    <row r="4" spans="1:16" x14ac:dyDescent="0.3">
      <c r="A4" s="12" t="s">
        <v>20</v>
      </c>
      <c r="B4" s="13"/>
      <c r="C4" s="14"/>
      <c r="D4" s="15"/>
      <c r="E4" s="16"/>
      <c r="F4" s="13"/>
      <c r="G4" s="17">
        <f t="shared" ref="G4:M4" si="0">SUBTOTAL(9,G3:G3)</f>
        <v>0</v>
      </c>
      <c r="H4" s="17">
        <f t="shared" si="0"/>
        <v>0</v>
      </c>
      <c r="I4" s="17">
        <f t="shared" si="0"/>
        <v>123</v>
      </c>
      <c r="J4" s="17">
        <f t="shared" si="0"/>
        <v>0</v>
      </c>
      <c r="K4" s="17">
        <f t="shared" si="0"/>
        <v>0</v>
      </c>
      <c r="L4" s="17">
        <f t="shared" si="0"/>
        <v>0</v>
      </c>
      <c r="M4" s="17">
        <f t="shared" si="0"/>
        <v>123</v>
      </c>
    </row>
    <row r="5" spans="1:16" x14ac:dyDescent="0.3">
      <c r="A5" s="8" t="s">
        <v>21</v>
      </c>
      <c r="B5" s="8" t="s">
        <v>165</v>
      </c>
      <c r="C5" s="9">
        <v>42961</v>
      </c>
      <c r="D5" s="10" t="s">
        <v>169</v>
      </c>
      <c r="E5" s="9">
        <v>42937</v>
      </c>
      <c r="F5" s="24" t="s">
        <v>148</v>
      </c>
      <c r="G5" s="11"/>
      <c r="H5" s="11"/>
      <c r="I5" s="11">
        <v>127</v>
      </c>
      <c r="J5" s="11"/>
      <c r="K5" s="11"/>
      <c r="L5" s="11"/>
      <c r="M5" s="11">
        <f>SUM(G5:L5)</f>
        <v>127</v>
      </c>
    </row>
    <row r="6" spans="1:16" x14ac:dyDescent="0.3">
      <c r="A6" s="12" t="s">
        <v>147</v>
      </c>
      <c r="B6" s="13"/>
      <c r="C6" s="14"/>
      <c r="D6" s="15"/>
      <c r="E6" s="16"/>
      <c r="F6" s="13"/>
      <c r="G6" s="17">
        <f t="shared" ref="G6:M6" si="1">SUBTOTAL(9,G5:G5)</f>
        <v>0</v>
      </c>
      <c r="H6" s="17">
        <f t="shared" si="1"/>
        <v>0</v>
      </c>
      <c r="I6" s="17">
        <f t="shared" si="1"/>
        <v>127</v>
      </c>
      <c r="J6" s="17">
        <f t="shared" si="1"/>
        <v>0</v>
      </c>
      <c r="K6" s="17">
        <f t="shared" si="1"/>
        <v>0</v>
      </c>
      <c r="L6" s="17">
        <f t="shared" si="1"/>
        <v>0</v>
      </c>
      <c r="M6" s="17">
        <f t="shared" si="1"/>
        <v>127</v>
      </c>
    </row>
    <row r="7" spans="1:16" ht="15.75" customHeight="1" x14ac:dyDescent="0.3">
      <c r="A7" s="8" t="s">
        <v>22</v>
      </c>
      <c r="B7" s="8" t="s">
        <v>23</v>
      </c>
      <c r="C7" s="9">
        <v>42997</v>
      </c>
      <c r="D7" s="10" t="s">
        <v>99</v>
      </c>
      <c r="E7" s="9">
        <v>42990</v>
      </c>
      <c r="F7" s="24" t="s">
        <v>100</v>
      </c>
      <c r="G7" s="11"/>
      <c r="H7" s="11"/>
      <c r="I7" s="11">
        <v>12</v>
      </c>
      <c r="J7" s="11">
        <v>10</v>
      </c>
      <c r="K7" s="11"/>
      <c r="L7" s="11"/>
      <c r="M7" s="11">
        <f>SUM(G7:L7)</f>
        <v>22</v>
      </c>
    </row>
    <row r="8" spans="1:16" x14ac:dyDescent="0.3">
      <c r="A8" s="8" t="s">
        <v>22</v>
      </c>
      <c r="B8" s="8" t="s">
        <v>23</v>
      </c>
      <c r="C8" s="9">
        <v>42929</v>
      </c>
      <c r="D8" s="10" t="s">
        <v>170</v>
      </c>
      <c r="E8" s="9">
        <v>42915</v>
      </c>
      <c r="F8" s="24" t="s">
        <v>171</v>
      </c>
      <c r="G8" s="11"/>
      <c r="H8" s="11"/>
      <c r="I8" s="11">
        <v>130.5</v>
      </c>
      <c r="J8" s="11"/>
      <c r="K8" s="11"/>
      <c r="L8" s="11"/>
      <c r="M8" s="11">
        <f t="shared" ref="M8" si="2">SUM(G8:L8)</f>
        <v>130.5</v>
      </c>
    </row>
    <row r="9" spans="1:16" x14ac:dyDescent="0.3">
      <c r="A9" s="12" t="s">
        <v>26</v>
      </c>
      <c r="B9" s="13"/>
      <c r="C9" s="14"/>
      <c r="D9" s="15"/>
      <c r="E9" s="16"/>
      <c r="F9" s="13"/>
      <c r="G9" s="17">
        <f t="shared" ref="G9:M9" si="3">SUBTOTAL(9,G7:G8)</f>
        <v>0</v>
      </c>
      <c r="H9" s="17">
        <f t="shared" si="3"/>
        <v>0</v>
      </c>
      <c r="I9" s="17">
        <f t="shared" si="3"/>
        <v>142.5</v>
      </c>
      <c r="J9" s="17">
        <f t="shared" si="3"/>
        <v>10</v>
      </c>
      <c r="K9" s="17">
        <f t="shared" si="3"/>
        <v>0</v>
      </c>
      <c r="L9" s="17">
        <f t="shared" si="3"/>
        <v>0</v>
      </c>
      <c r="M9" s="17">
        <f t="shared" si="3"/>
        <v>152.5</v>
      </c>
    </row>
    <row r="10" spans="1:16" x14ac:dyDescent="0.3">
      <c r="A10" s="18" t="s">
        <v>27</v>
      </c>
      <c r="B10" s="19" t="s">
        <v>167</v>
      </c>
      <c r="C10" s="20"/>
      <c r="D10" s="21"/>
      <c r="E10" s="22"/>
      <c r="F10" s="19"/>
      <c r="G10" s="23"/>
      <c r="H10" s="23"/>
      <c r="I10" s="23"/>
      <c r="J10" s="23"/>
      <c r="K10" s="23"/>
      <c r="L10" s="23"/>
      <c r="M10" s="23"/>
    </row>
    <row r="11" spans="1:16" x14ac:dyDescent="0.3">
      <c r="A11" s="8" t="s">
        <v>28</v>
      </c>
      <c r="B11" s="8" t="s">
        <v>29</v>
      </c>
      <c r="C11" s="8">
        <v>43004</v>
      </c>
      <c r="D11" s="10" t="s">
        <v>63</v>
      </c>
      <c r="E11" s="9">
        <v>42905</v>
      </c>
      <c r="F11" s="10" t="s">
        <v>31</v>
      </c>
      <c r="G11" s="11"/>
      <c r="H11" s="11"/>
      <c r="I11" s="11">
        <v>338</v>
      </c>
      <c r="J11" s="11">
        <v>42</v>
      </c>
      <c r="K11" s="11">
        <v>7.59</v>
      </c>
      <c r="L11" s="11"/>
      <c r="M11" s="11">
        <f>SUM(G11:L11)</f>
        <v>387.59</v>
      </c>
    </row>
    <row r="12" spans="1:16" x14ac:dyDescent="0.3">
      <c r="A12" s="8" t="s">
        <v>28</v>
      </c>
      <c r="B12" s="8" t="s">
        <v>29</v>
      </c>
      <c r="C12" s="8">
        <v>43004</v>
      </c>
      <c r="D12" s="10" t="s">
        <v>101</v>
      </c>
      <c r="E12" s="9">
        <v>42921</v>
      </c>
      <c r="F12" s="10" t="s">
        <v>31</v>
      </c>
      <c r="G12" s="11"/>
      <c r="H12" s="11"/>
      <c r="I12" s="11">
        <v>338</v>
      </c>
      <c r="J12" s="11">
        <v>40</v>
      </c>
      <c r="K12" s="11">
        <v>6.5</v>
      </c>
      <c r="L12" s="11"/>
      <c r="M12" s="11">
        <f t="shared" ref="M12:M16" si="4">SUM(G12:L12)</f>
        <v>384.5</v>
      </c>
    </row>
    <row r="13" spans="1:16" x14ac:dyDescent="0.3">
      <c r="A13" s="8" t="s">
        <v>28</v>
      </c>
      <c r="B13" s="8" t="s">
        <v>29</v>
      </c>
      <c r="C13" s="8">
        <v>43004</v>
      </c>
      <c r="D13" s="10" t="s">
        <v>102</v>
      </c>
      <c r="E13" s="9">
        <v>42943</v>
      </c>
      <c r="F13" s="10" t="s">
        <v>31</v>
      </c>
      <c r="G13" s="11"/>
      <c r="H13" s="11"/>
      <c r="I13" s="11">
        <v>338</v>
      </c>
      <c r="J13" s="11">
        <v>42</v>
      </c>
      <c r="K13" s="11">
        <v>10.37</v>
      </c>
      <c r="L13" s="11"/>
      <c r="M13" s="11">
        <f t="shared" si="4"/>
        <v>390.37</v>
      </c>
      <c r="P13" s="58"/>
    </row>
    <row r="14" spans="1:16" x14ac:dyDescent="0.3">
      <c r="A14" s="8" t="s">
        <v>28</v>
      </c>
      <c r="B14" s="8" t="s">
        <v>29</v>
      </c>
      <c r="C14" s="8">
        <v>43004</v>
      </c>
      <c r="D14" s="10" t="s">
        <v>103</v>
      </c>
      <c r="E14" s="9">
        <v>42984</v>
      </c>
      <c r="F14" s="10" t="s">
        <v>31</v>
      </c>
      <c r="G14" s="11"/>
      <c r="H14" s="11"/>
      <c r="I14" s="11">
        <v>338</v>
      </c>
      <c r="J14" s="11">
        <v>18</v>
      </c>
      <c r="K14" s="11">
        <v>6.49</v>
      </c>
      <c r="L14" s="11"/>
      <c r="M14" s="11">
        <f t="shared" si="4"/>
        <v>362.49</v>
      </c>
    </row>
    <row r="15" spans="1:16" x14ac:dyDescent="0.3">
      <c r="A15" s="10" t="s">
        <v>28</v>
      </c>
      <c r="B15" s="8" t="s">
        <v>29</v>
      </c>
      <c r="C15" s="8">
        <v>43004</v>
      </c>
      <c r="D15" s="10" t="s">
        <v>104</v>
      </c>
      <c r="E15" s="9">
        <v>42900</v>
      </c>
      <c r="F15" s="10" t="s">
        <v>31</v>
      </c>
      <c r="G15" s="11"/>
      <c r="H15" s="11"/>
      <c r="I15" s="11">
        <v>338</v>
      </c>
      <c r="J15" s="11">
        <v>36</v>
      </c>
      <c r="K15" s="11">
        <v>12.21</v>
      </c>
      <c r="L15" s="11"/>
      <c r="M15" s="11">
        <f t="shared" si="4"/>
        <v>386.21</v>
      </c>
    </row>
    <row r="16" spans="1:16" x14ac:dyDescent="0.3">
      <c r="A16" s="10" t="s">
        <v>28</v>
      </c>
      <c r="B16" s="8" t="s">
        <v>29</v>
      </c>
      <c r="C16" s="9">
        <v>43007</v>
      </c>
      <c r="D16" s="10" t="s">
        <v>105</v>
      </c>
      <c r="E16" s="9">
        <v>42914</v>
      </c>
      <c r="F16" s="10" t="s">
        <v>31</v>
      </c>
      <c r="G16" s="11"/>
      <c r="H16" s="11"/>
      <c r="I16" s="11">
        <v>338</v>
      </c>
      <c r="J16" s="11">
        <f>40+72.9+8.6+5.5</f>
        <v>127</v>
      </c>
      <c r="K16" s="11">
        <f>6.18+1.49</f>
        <v>7.67</v>
      </c>
      <c r="L16" s="11"/>
      <c r="M16" s="11">
        <f t="shared" si="4"/>
        <v>472.67</v>
      </c>
    </row>
    <row r="17" spans="1:13" x14ac:dyDescent="0.3">
      <c r="A17" s="12" t="s">
        <v>39</v>
      </c>
      <c r="B17" s="13"/>
      <c r="C17" s="14"/>
      <c r="D17" s="15"/>
      <c r="E17" s="16"/>
      <c r="F17" s="13"/>
      <c r="G17" s="17">
        <f t="shared" ref="G17:M17" si="5">SUBTOTAL(9,G11:G16)</f>
        <v>0</v>
      </c>
      <c r="H17" s="17">
        <f t="shared" si="5"/>
        <v>0</v>
      </c>
      <c r="I17" s="17">
        <f t="shared" si="5"/>
        <v>2028</v>
      </c>
      <c r="J17" s="17">
        <f t="shared" si="5"/>
        <v>305</v>
      </c>
      <c r="K17" s="17">
        <f t="shared" si="5"/>
        <v>50.830000000000005</v>
      </c>
      <c r="L17" s="17">
        <f t="shared" si="5"/>
        <v>0</v>
      </c>
      <c r="M17" s="17">
        <f t="shared" si="5"/>
        <v>2383.83</v>
      </c>
    </row>
    <row r="18" spans="1:13" x14ac:dyDescent="0.3">
      <c r="A18" s="18" t="s">
        <v>40</v>
      </c>
      <c r="B18" s="19" t="s">
        <v>41</v>
      </c>
      <c r="C18" s="20"/>
      <c r="D18" s="21"/>
      <c r="E18" s="22"/>
      <c r="F18" s="19"/>
      <c r="G18" s="23"/>
      <c r="H18" s="23"/>
      <c r="I18" s="23"/>
      <c r="J18" s="23"/>
      <c r="K18" s="23"/>
      <c r="L18" s="23"/>
      <c r="M18" s="23">
        <v>0</v>
      </c>
    </row>
    <row r="19" spans="1:13" x14ac:dyDescent="0.3">
      <c r="A19" s="10" t="s">
        <v>42</v>
      </c>
      <c r="B19" s="8" t="s">
        <v>41</v>
      </c>
      <c r="C19" s="9">
        <v>42921</v>
      </c>
      <c r="D19" s="25" t="s">
        <v>106</v>
      </c>
      <c r="E19" s="9" t="s">
        <v>107</v>
      </c>
      <c r="F19" s="25" t="s">
        <v>108</v>
      </c>
      <c r="G19" s="11"/>
      <c r="H19" s="11"/>
      <c r="I19" s="11"/>
      <c r="J19" s="11">
        <f>10.5+18</f>
        <v>28.5</v>
      </c>
      <c r="K19" s="11"/>
      <c r="L19" s="11"/>
      <c r="M19" s="11">
        <f>SUM(G19:L19)</f>
        <v>28.5</v>
      </c>
    </row>
    <row r="20" spans="1:13" x14ac:dyDescent="0.3">
      <c r="A20" s="10" t="s">
        <v>42</v>
      </c>
      <c r="B20" s="8" t="s">
        <v>41</v>
      </c>
      <c r="C20" s="9">
        <v>42955</v>
      </c>
      <c r="D20" s="25" t="s">
        <v>109</v>
      </c>
      <c r="E20" s="9" t="s">
        <v>110</v>
      </c>
      <c r="F20" s="25" t="s">
        <v>108</v>
      </c>
      <c r="G20" s="11"/>
      <c r="H20" s="11"/>
      <c r="I20" s="11"/>
      <c r="J20" s="11">
        <v>21.6</v>
      </c>
      <c r="K20" s="11"/>
      <c r="L20" s="11"/>
      <c r="M20" s="11">
        <f t="shared" ref="M20:M23" si="6">SUM(G20:L20)</f>
        <v>21.6</v>
      </c>
    </row>
    <row r="21" spans="1:13" x14ac:dyDescent="0.3">
      <c r="A21" s="10" t="s">
        <v>42</v>
      </c>
      <c r="B21" s="8" t="s">
        <v>41</v>
      </c>
      <c r="C21" s="9" t="s">
        <v>149</v>
      </c>
      <c r="D21" s="25" t="s">
        <v>111</v>
      </c>
      <c r="E21" s="9" t="s">
        <v>112</v>
      </c>
      <c r="F21" s="25" t="s">
        <v>108</v>
      </c>
      <c r="G21" s="11"/>
      <c r="H21" s="11"/>
      <c r="I21" s="11">
        <f>66.9+66.9</f>
        <v>133.80000000000001</v>
      </c>
      <c r="J21" s="11">
        <f>16+14.4</f>
        <v>30.4</v>
      </c>
      <c r="K21" s="11"/>
      <c r="L21" s="11"/>
      <c r="M21" s="11">
        <f t="shared" si="6"/>
        <v>164.20000000000002</v>
      </c>
    </row>
    <row r="22" spans="1:13" x14ac:dyDescent="0.3">
      <c r="A22" s="10" t="s">
        <v>42</v>
      </c>
      <c r="B22" s="8" t="s">
        <v>41</v>
      </c>
      <c r="C22" s="9" t="s">
        <v>144</v>
      </c>
      <c r="D22" s="25" t="s">
        <v>111</v>
      </c>
      <c r="E22" s="9" t="s">
        <v>113</v>
      </c>
      <c r="F22" s="25" t="s">
        <v>108</v>
      </c>
      <c r="G22" s="11"/>
      <c r="H22" s="11"/>
      <c r="I22" s="11">
        <v>66.900000000000006</v>
      </c>
      <c r="J22" s="11">
        <v>7.2</v>
      </c>
      <c r="K22" s="11"/>
      <c r="L22" s="11">
        <v>52.81</v>
      </c>
      <c r="M22" s="11">
        <f t="shared" si="6"/>
        <v>126.91000000000001</v>
      </c>
    </row>
    <row r="23" spans="1:13" x14ac:dyDescent="0.3">
      <c r="A23" s="10" t="s">
        <v>42</v>
      </c>
      <c r="B23" s="8" t="s">
        <v>41</v>
      </c>
      <c r="C23" s="9">
        <v>42986</v>
      </c>
      <c r="D23" s="25" t="s">
        <v>128</v>
      </c>
      <c r="E23" s="9">
        <v>43011</v>
      </c>
      <c r="F23" s="25" t="s">
        <v>108</v>
      </c>
      <c r="G23" s="11"/>
      <c r="H23" s="11"/>
      <c r="I23" s="11">
        <v>66.900000000000006</v>
      </c>
      <c r="J23" s="11"/>
      <c r="K23" s="11"/>
      <c r="L23" s="11"/>
      <c r="M23" s="11">
        <f t="shared" si="6"/>
        <v>66.900000000000006</v>
      </c>
    </row>
    <row r="24" spans="1:13" x14ac:dyDescent="0.3">
      <c r="A24" s="12" t="s">
        <v>50</v>
      </c>
      <c r="B24" s="13"/>
      <c r="C24" s="16"/>
      <c r="D24" s="15"/>
      <c r="E24" s="16"/>
      <c r="F24" s="13"/>
      <c r="G24" s="17">
        <f t="shared" ref="G24:M24" si="7">SUBTOTAL(9,G19:G23)</f>
        <v>0</v>
      </c>
      <c r="H24" s="17">
        <f t="shared" si="7"/>
        <v>0</v>
      </c>
      <c r="I24" s="17">
        <f t="shared" si="7"/>
        <v>267.60000000000002</v>
      </c>
      <c r="J24" s="17">
        <f t="shared" si="7"/>
        <v>87.7</v>
      </c>
      <c r="K24" s="17">
        <f t="shared" si="7"/>
        <v>0</v>
      </c>
      <c r="L24" s="17">
        <f t="shared" si="7"/>
        <v>52.81</v>
      </c>
      <c r="M24" s="17">
        <f t="shared" si="7"/>
        <v>408.11</v>
      </c>
    </row>
    <row r="25" spans="1:13" x14ac:dyDescent="0.3">
      <c r="A25" s="8" t="s">
        <v>51</v>
      </c>
      <c r="B25" s="8" t="s">
        <v>41</v>
      </c>
      <c r="C25" s="9">
        <v>42929</v>
      </c>
      <c r="D25" s="25" t="s">
        <v>105</v>
      </c>
      <c r="E25" s="9">
        <v>42914</v>
      </c>
      <c r="F25" s="24" t="s">
        <v>69</v>
      </c>
      <c r="G25" s="11"/>
      <c r="H25" s="11"/>
      <c r="I25" s="11"/>
      <c r="J25" s="11"/>
      <c r="K25" s="11">
        <v>125.6</v>
      </c>
      <c r="L25" s="11"/>
      <c r="M25" s="11">
        <f>SUM(G25:L25)</f>
        <v>125.6</v>
      </c>
    </row>
    <row r="26" spans="1:13" x14ac:dyDescent="0.3">
      <c r="A26" s="10" t="s">
        <v>51</v>
      </c>
      <c r="B26" s="8" t="s">
        <v>41</v>
      </c>
      <c r="C26" s="9" t="s">
        <v>150</v>
      </c>
      <c r="D26" s="25" t="s">
        <v>132</v>
      </c>
      <c r="E26" s="9" t="s">
        <v>151</v>
      </c>
      <c r="F26" s="24" t="s">
        <v>54</v>
      </c>
      <c r="G26" s="11"/>
      <c r="H26" s="11"/>
      <c r="I26" s="11">
        <f>54.3+54.3</f>
        <v>108.6</v>
      </c>
      <c r="J26" s="11"/>
      <c r="K26" s="11"/>
      <c r="L26" s="11"/>
      <c r="M26" s="11">
        <f t="shared" ref="M26:M31" si="8">SUM(G26:L26)</f>
        <v>108.6</v>
      </c>
    </row>
    <row r="27" spans="1:13" x14ac:dyDescent="0.3">
      <c r="A27" s="10" t="s">
        <v>51</v>
      </c>
      <c r="B27" s="8" t="s">
        <v>41</v>
      </c>
      <c r="C27" s="9">
        <v>42961</v>
      </c>
      <c r="D27" s="25" t="s">
        <v>128</v>
      </c>
      <c r="E27" s="8">
        <v>43011</v>
      </c>
      <c r="F27" s="24" t="s">
        <v>54</v>
      </c>
      <c r="G27" s="11"/>
      <c r="H27" s="11"/>
      <c r="I27" s="11">
        <v>54.3</v>
      </c>
      <c r="J27" s="11"/>
      <c r="K27" s="11"/>
      <c r="L27" s="11"/>
      <c r="M27" s="11">
        <f t="shared" si="8"/>
        <v>54.3</v>
      </c>
    </row>
    <row r="28" spans="1:13" x14ac:dyDescent="0.3">
      <c r="A28" s="10" t="s">
        <v>51</v>
      </c>
      <c r="B28" s="8" t="s">
        <v>41</v>
      </c>
      <c r="C28" s="9">
        <v>42961</v>
      </c>
      <c r="D28" s="25" t="s">
        <v>174</v>
      </c>
      <c r="E28" s="9" t="s">
        <v>145</v>
      </c>
      <c r="F28" s="24" t="s">
        <v>54</v>
      </c>
      <c r="G28" s="11"/>
      <c r="H28" s="11"/>
      <c r="I28" s="11">
        <f>28.4+28.4</f>
        <v>56.8</v>
      </c>
      <c r="J28" s="11"/>
      <c r="K28" s="11"/>
      <c r="L28" s="11"/>
      <c r="M28" s="11">
        <f t="shared" si="8"/>
        <v>56.8</v>
      </c>
    </row>
    <row r="29" spans="1:13" x14ac:dyDescent="0.3">
      <c r="A29" s="10" t="s">
        <v>51</v>
      </c>
      <c r="B29" s="8" t="s">
        <v>41</v>
      </c>
      <c r="C29" s="9">
        <v>42961</v>
      </c>
      <c r="D29" s="25" t="s">
        <v>174</v>
      </c>
      <c r="E29" s="8">
        <v>42978</v>
      </c>
      <c r="F29" s="24" t="s">
        <v>54</v>
      </c>
      <c r="G29" s="11"/>
      <c r="H29" s="11"/>
      <c r="I29" s="11">
        <v>54.3</v>
      </c>
      <c r="J29" s="11"/>
      <c r="K29" s="11"/>
      <c r="L29" s="11"/>
      <c r="M29" s="11">
        <f t="shared" si="8"/>
        <v>54.3</v>
      </c>
    </row>
    <row r="30" spans="1:13" x14ac:dyDescent="0.3">
      <c r="A30" s="10" t="s">
        <v>51</v>
      </c>
      <c r="B30" s="8" t="s">
        <v>41</v>
      </c>
      <c r="C30" s="9">
        <v>42961</v>
      </c>
      <c r="D30" s="25" t="s">
        <v>128</v>
      </c>
      <c r="E30" s="8">
        <v>42991</v>
      </c>
      <c r="F30" s="24" t="s">
        <v>54</v>
      </c>
      <c r="G30" s="11"/>
      <c r="H30" s="11"/>
      <c r="I30" s="11">
        <v>54.3</v>
      </c>
      <c r="J30" s="11"/>
      <c r="K30" s="11"/>
      <c r="L30" s="11"/>
      <c r="M30" s="11">
        <f t="shared" si="8"/>
        <v>54.3</v>
      </c>
    </row>
    <row r="31" spans="1:13" x14ac:dyDescent="0.3">
      <c r="A31" s="10" t="s">
        <v>51</v>
      </c>
      <c r="B31" s="8" t="s">
        <v>41</v>
      </c>
      <c r="C31" s="9">
        <v>42986</v>
      </c>
      <c r="D31" s="25" t="s">
        <v>105</v>
      </c>
      <c r="E31" s="9">
        <v>43054</v>
      </c>
      <c r="F31" s="24" t="s">
        <v>54</v>
      </c>
      <c r="G31" s="11"/>
      <c r="H31" s="11"/>
      <c r="I31" s="11">
        <v>54.3</v>
      </c>
      <c r="J31" s="11"/>
      <c r="K31" s="11"/>
      <c r="L31" s="11"/>
      <c r="M31" s="11">
        <f t="shared" si="8"/>
        <v>54.3</v>
      </c>
    </row>
    <row r="32" spans="1:13" x14ac:dyDescent="0.3">
      <c r="A32" s="12" t="s">
        <v>60</v>
      </c>
      <c r="B32" s="13"/>
      <c r="C32" s="16"/>
      <c r="D32" s="15"/>
      <c r="E32" s="16"/>
      <c r="F32" s="13"/>
      <c r="G32" s="17">
        <f t="shared" ref="G32:M32" si="9">SUBTOTAL(9,G25:G31)</f>
        <v>0</v>
      </c>
      <c r="H32" s="17">
        <f t="shared" si="9"/>
        <v>0</v>
      </c>
      <c r="I32" s="17">
        <f t="shared" si="9"/>
        <v>382.6</v>
      </c>
      <c r="J32" s="17">
        <f t="shared" si="9"/>
        <v>0</v>
      </c>
      <c r="K32" s="17">
        <f t="shared" si="9"/>
        <v>125.6</v>
      </c>
      <c r="L32" s="17">
        <f t="shared" si="9"/>
        <v>0</v>
      </c>
      <c r="M32" s="17">
        <f t="shared" si="9"/>
        <v>508.20000000000005</v>
      </c>
    </row>
    <row r="33" spans="1:17" x14ac:dyDescent="0.3">
      <c r="A33" s="10" t="s">
        <v>61</v>
      </c>
      <c r="B33" s="10" t="s">
        <v>41</v>
      </c>
      <c r="C33" s="26">
        <v>42928</v>
      </c>
      <c r="D33" s="25" t="s">
        <v>105</v>
      </c>
      <c r="E33" s="9">
        <v>42914</v>
      </c>
      <c r="F33" s="25" t="s">
        <v>114</v>
      </c>
      <c r="G33" s="11"/>
      <c r="H33" s="11"/>
      <c r="I33" s="11">
        <v>68.900000000000006</v>
      </c>
      <c r="J33" s="11">
        <v>6.45</v>
      </c>
      <c r="K33" s="11"/>
      <c r="L33" s="11"/>
      <c r="M33" s="11">
        <f>SUM(G33:L33)</f>
        <v>75.350000000000009</v>
      </c>
      <c r="Q33" s="27"/>
    </row>
    <row r="34" spans="1:17" x14ac:dyDescent="0.3">
      <c r="A34" s="10" t="s">
        <v>61</v>
      </c>
      <c r="B34" s="10" t="s">
        <v>41</v>
      </c>
      <c r="C34" s="9">
        <v>42998</v>
      </c>
      <c r="D34" s="25" t="s">
        <v>76</v>
      </c>
      <c r="E34" s="9">
        <v>42985</v>
      </c>
      <c r="F34" s="25" t="s">
        <v>114</v>
      </c>
      <c r="G34" s="11"/>
      <c r="H34" s="11"/>
      <c r="I34" s="11">
        <v>68.400000000000006</v>
      </c>
      <c r="J34" s="11">
        <v>6.45</v>
      </c>
      <c r="K34" s="11"/>
      <c r="L34" s="11"/>
      <c r="M34" s="11">
        <f t="shared" ref="M34:M35" si="10">SUM(G34:L34)</f>
        <v>74.850000000000009</v>
      </c>
      <c r="Q34" s="27"/>
    </row>
    <row r="35" spans="1:17" x14ac:dyDescent="0.3">
      <c r="A35" s="10" t="s">
        <v>61</v>
      </c>
      <c r="B35" s="10" t="s">
        <v>41</v>
      </c>
      <c r="C35" s="9">
        <v>43004</v>
      </c>
      <c r="D35" s="25" t="s">
        <v>105</v>
      </c>
      <c r="E35" s="9">
        <v>42991</v>
      </c>
      <c r="F35" s="25" t="s">
        <v>114</v>
      </c>
      <c r="G35" s="11"/>
      <c r="H35" s="11"/>
      <c r="I35" s="11">
        <v>68.900000000000006</v>
      </c>
      <c r="J35" s="11">
        <v>6.45</v>
      </c>
      <c r="K35" s="11"/>
      <c r="L35" s="11"/>
      <c r="M35" s="11">
        <f t="shared" si="10"/>
        <v>75.350000000000009</v>
      </c>
      <c r="Q35" s="27"/>
    </row>
    <row r="36" spans="1:17" x14ac:dyDescent="0.3">
      <c r="A36" s="12" t="s">
        <v>64</v>
      </c>
      <c r="B36" s="13"/>
      <c r="C36" s="14"/>
      <c r="D36" s="15"/>
      <c r="E36" s="16"/>
      <c r="F36" s="13"/>
      <c r="G36" s="17">
        <f t="shared" ref="G36:M36" si="11">SUBTOTAL(9,G33:G35)</f>
        <v>0</v>
      </c>
      <c r="H36" s="17">
        <f t="shared" si="11"/>
        <v>0</v>
      </c>
      <c r="I36" s="17">
        <f t="shared" si="11"/>
        <v>206.20000000000002</v>
      </c>
      <c r="J36" s="17">
        <f t="shared" si="11"/>
        <v>19.350000000000001</v>
      </c>
      <c r="K36" s="17">
        <f t="shared" si="11"/>
        <v>0</v>
      </c>
      <c r="L36" s="17">
        <f t="shared" si="11"/>
        <v>0</v>
      </c>
      <c r="M36" s="17">
        <f t="shared" si="11"/>
        <v>225.55</v>
      </c>
      <c r="Q36" s="27"/>
    </row>
    <row r="37" spans="1:17" x14ac:dyDescent="0.3">
      <c r="A37" s="18" t="s">
        <v>65</v>
      </c>
      <c r="B37" s="19" t="s">
        <v>41</v>
      </c>
      <c r="C37" s="20"/>
      <c r="D37" s="21"/>
      <c r="E37" s="28"/>
      <c r="F37" s="19"/>
      <c r="G37" s="23"/>
      <c r="H37" s="23"/>
      <c r="I37" s="23"/>
      <c r="J37" s="23"/>
      <c r="K37" s="23"/>
      <c r="L37" s="23"/>
      <c r="M37" s="23">
        <v>0</v>
      </c>
    </row>
    <row r="38" spans="1:17" x14ac:dyDescent="0.3">
      <c r="A38" s="10" t="s">
        <v>66</v>
      </c>
      <c r="B38" s="10" t="s">
        <v>41</v>
      </c>
      <c r="C38" s="9" t="s">
        <v>143</v>
      </c>
      <c r="D38" s="25" t="s">
        <v>105</v>
      </c>
      <c r="E38" s="9">
        <v>42914</v>
      </c>
      <c r="F38" s="11" t="s">
        <v>115</v>
      </c>
      <c r="G38" s="11"/>
      <c r="H38" s="11"/>
      <c r="I38" s="11">
        <v>330</v>
      </c>
      <c r="J38" s="11">
        <v>16.25</v>
      </c>
      <c r="K38" s="11"/>
      <c r="L38" s="11"/>
      <c r="M38" s="11">
        <f>SUM(G38:L38)</f>
        <v>346.25</v>
      </c>
    </row>
    <row r="39" spans="1:17" x14ac:dyDescent="0.3">
      <c r="A39" s="10" t="s">
        <v>66</v>
      </c>
      <c r="B39" s="10" t="s">
        <v>41</v>
      </c>
      <c r="C39" s="9">
        <v>42935</v>
      </c>
      <c r="D39" s="25" t="s">
        <v>116</v>
      </c>
      <c r="E39" s="9">
        <v>42915</v>
      </c>
      <c r="F39" s="11" t="s">
        <v>69</v>
      </c>
      <c r="G39" s="11"/>
      <c r="H39" s="11"/>
      <c r="I39" s="11"/>
      <c r="J39" s="11"/>
      <c r="K39" s="11"/>
      <c r="L39" s="11">
        <v>119.07</v>
      </c>
      <c r="M39" s="11">
        <f t="shared" ref="M39:M43" si="12">SUM(G39:L39)</f>
        <v>119.07</v>
      </c>
    </row>
    <row r="40" spans="1:17" x14ac:dyDescent="0.3">
      <c r="A40" s="10" t="s">
        <v>66</v>
      </c>
      <c r="B40" s="10" t="s">
        <v>41</v>
      </c>
      <c r="C40" s="9">
        <v>43004</v>
      </c>
      <c r="D40" s="25" t="s">
        <v>116</v>
      </c>
      <c r="E40" s="9">
        <v>42943</v>
      </c>
      <c r="F40" s="11" t="s">
        <v>69</v>
      </c>
      <c r="G40" s="11"/>
      <c r="H40" s="11"/>
      <c r="I40" s="11"/>
      <c r="J40" s="11"/>
      <c r="K40" s="11"/>
      <c r="L40" s="11">
        <v>9.7200000000000006</v>
      </c>
      <c r="M40" s="11">
        <f t="shared" si="12"/>
        <v>9.7200000000000006</v>
      </c>
    </row>
    <row r="41" spans="1:17" x14ac:dyDescent="0.3">
      <c r="A41" s="10" t="s">
        <v>66</v>
      </c>
      <c r="B41" s="10" t="s">
        <v>41</v>
      </c>
      <c r="C41" s="9">
        <v>42929</v>
      </c>
      <c r="D41" s="26" t="s">
        <v>63</v>
      </c>
      <c r="E41" s="9" t="s">
        <v>142</v>
      </c>
      <c r="F41" s="11" t="s">
        <v>115</v>
      </c>
      <c r="G41" s="11"/>
      <c r="H41" s="11">
        <v>188.16</v>
      </c>
      <c r="I41" s="11">
        <f>171</f>
        <v>171</v>
      </c>
      <c r="J41" s="11"/>
      <c r="K41" s="11"/>
      <c r="L41" s="11"/>
      <c r="M41" s="11">
        <f t="shared" si="12"/>
        <v>359.15999999999997</v>
      </c>
    </row>
    <row r="42" spans="1:17" x14ac:dyDescent="0.3">
      <c r="A42" s="10" t="s">
        <v>66</v>
      </c>
      <c r="B42" s="10" t="s">
        <v>41</v>
      </c>
      <c r="C42" s="9">
        <v>42961</v>
      </c>
      <c r="D42" s="26" t="s">
        <v>128</v>
      </c>
      <c r="E42" s="9">
        <v>42991</v>
      </c>
      <c r="F42" s="11" t="s">
        <v>115</v>
      </c>
      <c r="G42" s="11"/>
      <c r="H42" s="11"/>
      <c r="I42" s="11">
        <v>330</v>
      </c>
      <c r="J42" s="11"/>
      <c r="K42" s="11"/>
      <c r="L42" s="11"/>
      <c r="M42" s="11">
        <f t="shared" si="12"/>
        <v>330</v>
      </c>
    </row>
    <row r="43" spans="1:17" x14ac:dyDescent="0.3">
      <c r="A43" s="10" t="s">
        <v>66</v>
      </c>
      <c r="B43" s="10" t="s">
        <v>41</v>
      </c>
      <c r="C43" s="9">
        <v>42961</v>
      </c>
      <c r="D43" s="26" t="s">
        <v>63</v>
      </c>
      <c r="E43" s="9">
        <v>43024</v>
      </c>
      <c r="F43" s="11" t="s">
        <v>115</v>
      </c>
      <c r="G43" s="11"/>
      <c r="H43" s="11"/>
      <c r="I43" s="11">
        <v>330</v>
      </c>
      <c r="J43" s="11"/>
      <c r="K43" s="11"/>
      <c r="L43" s="11"/>
      <c r="M43" s="11">
        <f t="shared" si="12"/>
        <v>330</v>
      </c>
    </row>
    <row r="44" spans="1:17" x14ac:dyDescent="0.3">
      <c r="A44" s="12" t="s">
        <v>71</v>
      </c>
      <c r="B44" s="13"/>
      <c r="C44" s="14"/>
      <c r="D44" s="15"/>
      <c r="E44" s="16"/>
      <c r="F44" s="13"/>
      <c r="G44" s="17">
        <f t="shared" ref="G44:M44" si="13">SUBTOTAL(9,G38:G43)</f>
        <v>0</v>
      </c>
      <c r="H44" s="17">
        <f t="shared" si="13"/>
        <v>188.16</v>
      </c>
      <c r="I44" s="17">
        <f t="shared" si="13"/>
        <v>1161</v>
      </c>
      <c r="J44" s="17">
        <f t="shared" si="13"/>
        <v>16.25</v>
      </c>
      <c r="K44" s="17">
        <f t="shared" si="13"/>
        <v>0</v>
      </c>
      <c r="L44" s="17">
        <f t="shared" si="13"/>
        <v>128.79</v>
      </c>
      <c r="M44" s="17">
        <f t="shared" si="13"/>
        <v>1494.2</v>
      </c>
    </row>
    <row r="45" spans="1:17" x14ac:dyDescent="0.3">
      <c r="A45" s="10" t="s">
        <v>72</v>
      </c>
      <c r="B45" s="10" t="s">
        <v>41</v>
      </c>
      <c r="C45" s="9">
        <v>42941</v>
      </c>
      <c r="D45" s="25" t="s">
        <v>76</v>
      </c>
      <c r="E45" s="9">
        <v>42929</v>
      </c>
      <c r="F45" s="11" t="s">
        <v>75</v>
      </c>
      <c r="G45" s="11"/>
      <c r="H45" s="11"/>
      <c r="I45" s="11">
        <v>88.6</v>
      </c>
      <c r="J45" s="11"/>
      <c r="K45" s="11"/>
      <c r="L45" s="11"/>
      <c r="M45" s="11">
        <f>SUM(G45:L45)</f>
        <v>88.6</v>
      </c>
    </row>
    <row r="46" spans="1:17" x14ac:dyDescent="0.3">
      <c r="A46" s="12" t="s">
        <v>78</v>
      </c>
      <c r="B46" s="13" t="s">
        <v>41</v>
      </c>
      <c r="C46" s="14"/>
      <c r="D46" s="15"/>
      <c r="E46" s="16"/>
      <c r="F46" s="13"/>
      <c r="G46" s="17">
        <f t="shared" ref="G46:M46" si="14">SUBTOTAL(9,G45:G45)</f>
        <v>0</v>
      </c>
      <c r="H46" s="17">
        <f t="shared" si="14"/>
        <v>0</v>
      </c>
      <c r="I46" s="17">
        <f t="shared" si="14"/>
        <v>88.6</v>
      </c>
      <c r="J46" s="17">
        <f t="shared" si="14"/>
        <v>0</v>
      </c>
      <c r="K46" s="17">
        <f t="shared" si="14"/>
        <v>0</v>
      </c>
      <c r="L46" s="17">
        <f t="shared" si="14"/>
        <v>0</v>
      </c>
      <c r="M46" s="17">
        <f t="shared" si="14"/>
        <v>88.6</v>
      </c>
    </row>
    <row r="47" spans="1:17" x14ac:dyDescent="0.3">
      <c r="A47" s="18" t="s">
        <v>79</v>
      </c>
      <c r="B47" s="19"/>
      <c r="C47" s="20"/>
      <c r="D47" s="21"/>
      <c r="E47" s="28"/>
      <c r="F47" s="19"/>
      <c r="G47" s="23"/>
      <c r="H47" s="23"/>
      <c r="I47" s="23"/>
      <c r="J47" s="23"/>
      <c r="K47" s="23"/>
      <c r="L47" s="23"/>
      <c r="M47" s="23"/>
    </row>
    <row r="48" spans="1:17" x14ac:dyDescent="0.3">
      <c r="A48" s="10" t="s">
        <v>117</v>
      </c>
      <c r="B48" s="10"/>
      <c r="C48" s="26">
        <v>42937</v>
      </c>
      <c r="D48" s="26" t="s">
        <v>118</v>
      </c>
      <c r="E48" s="9" t="s">
        <v>119</v>
      </c>
      <c r="F48" s="11" t="s">
        <v>69</v>
      </c>
      <c r="G48" s="11"/>
      <c r="H48" s="11"/>
      <c r="I48" s="11"/>
      <c r="J48" s="11"/>
      <c r="K48" s="11"/>
      <c r="L48" s="11">
        <v>121.63</v>
      </c>
      <c r="M48" s="11">
        <f>SUM(G48:L48)</f>
        <v>121.63</v>
      </c>
    </row>
    <row r="49" spans="1:18" x14ac:dyDescent="0.3">
      <c r="A49" s="12" t="s">
        <v>120</v>
      </c>
      <c r="B49" s="13"/>
      <c r="C49" s="14"/>
      <c r="D49" s="15"/>
      <c r="E49" s="16"/>
      <c r="F49" s="13"/>
      <c r="G49" s="17">
        <f t="shared" ref="G49:M49" si="15">SUBTOTAL(9,G48:G48)</f>
        <v>0</v>
      </c>
      <c r="H49" s="17">
        <f t="shared" si="15"/>
        <v>0</v>
      </c>
      <c r="I49" s="17">
        <f t="shared" si="15"/>
        <v>0</v>
      </c>
      <c r="J49" s="17">
        <f t="shared" si="15"/>
        <v>0</v>
      </c>
      <c r="K49" s="17">
        <f t="shared" si="15"/>
        <v>0</v>
      </c>
      <c r="L49" s="17">
        <f t="shared" si="15"/>
        <v>121.63</v>
      </c>
      <c r="M49" s="17">
        <f t="shared" si="15"/>
        <v>121.63</v>
      </c>
    </row>
    <row r="50" spans="1:18" x14ac:dyDescent="0.3">
      <c r="A50" s="10" t="s">
        <v>81</v>
      </c>
      <c r="B50" s="10" t="s">
        <v>41</v>
      </c>
      <c r="C50" s="9">
        <v>42921</v>
      </c>
      <c r="D50" s="25" t="s">
        <v>121</v>
      </c>
      <c r="E50" s="9" t="s">
        <v>122</v>
      </c>
      <c r="F50" s="11" t="s">
        <v>83</v>
      </c>
      <c r="G50" s="11"/>
      <c r="H50" s="11"/>
      <c r="I50" s="11">
        <v>90.4</v>
      </c>
      <c r="J50" s="11"/>
      <c r="K50" s="11"/>
      <c r="L50" s="11"/>
      <c r="M50" s="11">
        <f>SUM(G50:L50)</f>
        <v>90.4</v>
      </c>
    </row>
    <row r="51" spans="1:18" x14ac:dyDescent="0.3">
      <c r="A51" s="12" t="s">
        <v>81</v>
      </c>
      <c r="B51" s="13" t="s">
        <v>41</v>
      </c>
      <c r="C51" s="14"/>
      <c r="D51" s="15"/>
      <c r="E51" s="16"/>
      <c r="F51" s="13"/>
      <c r="G51" s="17">
        <f t="shared" ref="G51:M51" si="16">SUBTOTAL(9,G50:G50)</f>
        <v>0</v>
      </c>
      <c r="H51" s="17">
        <f t="shared" si="16"/>
        <v>0</v>
      </c>
      <c r="I51" s="17">
        <f t="shared" si="16"/>
        <v>90.4</v>
      </c>
      <c r="J51" s="17">
        <f t="shared" si="16"/>
        <v>0</v>
      </c>
      <c r="K51" s="17">
        <f t="shared" si="16"/>
        <v>0</v>
      </c>
      <c r="L51" s="17">
        <f t="shared" si="16"/>
        <v>0</v>
      </c>
      <c r="M51" s="17">
        <f t="shared" si="16"/>
        <v>90.4</v>
      </c>
    </row>
    <row r="52" spans="1:18" ht="17.25" thickBot="1" x14ac:dyDescent="0.35">
      <c r="A52" s="29"/>
      <c r="B52" s="29"/>
      <c r="C52" s="30"/>
      <c r="D52" s="29"/>
      <c r="E52" s="29"/>
      <c r="F52" s="31"/>
      <c r="G52" s="32">
        <f t="shared" ref="G52:M52" si="17">SUBTOTAL(9,G3:G51)</f>
        <v>0</v>
      </c>
      <c r="H52" s="32">
        <f t="shared" si="17"/>
        <v>188.16</v>
      </c>
      <c r="I52" s="32">
        <f t="shared" si="17"/>
        <v>4616.9000000000015</v>
      </c>
      <c r="J52" s="32">
        <f t="shared" si="17"/>
        <v>438.29999999999995</v>
      </c>
      <c r="K52" s="32">
        <f t="shared" si="17"/>
        <v>176.43</v>
      </c>
      <c r="L52" s="32">
        <f t="shared" si="17"/>
        <v>303.23</v>
      </c>
      <c r="M52" s="32">
        <f t="shared" si="17"/>
        <v>5723.02</v>
      </c>
    </row>
    <row r="53" spans="1:18" ht="17.25" thickTop="1" x14ac:dyDescent="0.3">
      <c r="A53" s="33"/>
      <c r="B53" s="33"/>
      <c r="C53" s="34"/>
      <c r="D53" s="33"/>
      <c r="E53" s="33"/>
      <c r="F53" s="33"/>
      <c r="G53" s="35"/>
      <c r="H53" s="35"/>
      <c r="I53" s="35"/>
      <c r="J53" s="35"/>
      <c r="K53" s="35"/>
      <c r="L53" s="35"/>
      <c r="M53" s="35"/>
      <c r="O53" s="36"/>
      <c r="R53" s="37"/>
    </row>
    <row r="54" spans="1:18" x14ac:dyDescent="0.3">
      <c r="E54" s="38"/>
      <c r="F54" s="38"/>
      <c r="N54" s="36"/>
      <c r="O54" s="36"/>
    </row>
    <row r="55" spans="1:18" ht="17.25" thickBot="1" x14ac:dyDescent="0.35">
      <c r="A55" s="33"/>
      <c r="B55" s="33"/>
      <c r="C55" s="34"/>
      <c r="D55" s="33"/>
      <c r="E55" s="33"/>
      <c r="F55" s="33"/>
      <c r="G55" s="35"/>
      <c r="H55" s="35"/>
      <c r="I55" s="35"/>
      <c r="J55" s="35"/>
      <c r="K55" s="35"/>
      <c r="L55" s="35"/>
      <c r="M55" s="35"/>
      <c r="O55" s="36"/>
    </row>
    <row r="56" spans="1:18" ht="17.25" thickBot="1" x14ac:dyDescent="0.35">
      <c r="A56" s="33"/>
      <c r="B56" s="33"/>
      <c r="C56" s="33"/>
      <c r="D56" s="33"/>
      <c r="E56" s="33"/>
      <c r="F56" s="39" t="s">
        <v>86</v>
      </c>
      <c r="G56" s="40"/>
      <c r="H56" s="40"/>
      <c r="I56" s="40"/>
      <c r="J56" s="40"/>
      <c r="K56" s="40"/>
      <c r="L56" s="40"/>
      <c r="M56" s="41"/>
    </row>
    <row r="57" spans="1:18" ht="52.5" x14ac:dyDescent="0.3">
      <c r="A57" s="33"/>
      <c r="B57" s="33"/>
      <c r="C57" s="33"/>
      <c r="D57" s="33"/>
      <c r="E57" s="33"/>
      <c r="F57" s="42"/>
      <c r="G57" s="43" t="s">
        <v>7</v>
      </c>
      <c r="H57" s="44" t="s">
        <v>87</v>
      </c>
      <c r="I57" s="44" t="s">
        <v>88</v>
      </c>
      <c r="J57" s="44" t="s">
        <v>89</v>
      </c>
      <c r="K57" s="44" t="s">
        <v>11</v>
      </c>
      <c r="L57" s="44" t="s">
        <v>12</v>
      </c>
      <c r="M57" s="45" t="s">
        <v>90</v>
      </c>
    </row>
    <row r="58" spans="1:18" x14ac:dyDescent="0.3">
      <c r="A58" s="33"/>
      <c r="B58" s="33"/>
      <c r="C58" s="46"/>
      <c r="D58" s="33"/>
      <c r="E58" s="33"/>
      <c r="F58" s="47" t="s">
        <v>91</v>
      </c>
      <c r="G58" s="48">
        <f>G52-G59</f>
        <v>0</v>
      </c>
      <c r="H58" s="48">
        <f t="shared" ref="H58:M58" si="18">H52-H59</f>
        <v>188.16</v>
      </c>
      <c r="I58" s="48">
        <f t="shared" si="18"/>
        <v>4493.9000000000015</v>
      </c>
      <c r="J58" s="48">
        <f t="shared" si="18"/>
        <v>438.29999999999995</v>
      </c>
      <c r="K58" s="48">
        <f t="shared" si="18"/>
        <v>176.43</v>
      </c>
      <c r="L58" s="48">
        <f t="shared" si="18"/>
        <v>303.23</v>
      </c>
      <c r="M58" s="48">
        <f t="shared" si="18"/>
        <v>5600.02</v>
      </c>
    </row>
    <row r="59" spans="1:18" x14ac:dyDescent="0.3">
      <c r="A59" s="33"/>
      <c r="B59" s="33"/>
      <c r="C59" s="46"/>
      <c r="D59" s="33"/>
      <c r="E59" s="33"/>
      <c r="F59" s="47" t="s">
        <v>92</v>
      </c>
      <c r="G59" s="48">
        <f t="shared" ref="G59:L59" si="19">G4</f>
        <v>0</v>
      </c>
      <c r="H59" s="48">
        <f t="shared" si="19"/>
        <v>0</v>
      </c>
      <c r="I59" s="48">
        <f t="shared" si="19"/>
        <v>123</v>
      </c>
      <c r="J59" s="48">
        <f t="shared" si="19"/>
        <v>0</v>
      </c>
      <c r="K59" s="48">
        <f t="shared" si="19"/>
        <v>0</v>
      </c>
      <c r="L59" s="48">
        <f t="shared" si="19"/>
        <v>0</v>
      </c>
      <c r="M59" s="48">
        <f>SUM(G59:L59)</f>
        <v>123</v>
      </c>
    </row>
    <row r="60" spans="1:18" x14ac:dyDescent="0.3">
      <c r="A60" s="33"/>
      <c r="B60" s="33"/>
      <c r="C60" s="46"/>
      <c r="D60" s="33"/>
      <c r="E60" s="33"/>
      <c r="F60" s="49" t="s">
        <v>93</v>
      </c>
      <c r="G60" s="50">
        <f t="shared" ref="G60:L60" si="20">SUM(G58:G59)</f>
        <v>0</v>
      </c>
      <c r="H60" s="50">
        <f t="shared" si="20"/>
        <v>188.16</v>
      </c>
      <c r="I60" s="50">
        <f t="shared" si="20"/>
        <v>4616.9000000000015</v>
      </c>
      <c r="J60" s="50">
        <f t="shared" si="20"/>
        <v>438.29999999999995</v>
      </c>
      <c r="K60" s="50">
        <f t="shared" si="20"/>
        <v>176.43</v>
      </c>
      <c r="L60" s="50">
        <f t="shared" si="20"/>
        <v>303.23</v>
      </c>
      <c r="M60" s="51">
        <f>SUM(G60:L60)</f>
        <v>5723.0200000000023</v>
      </c>
      <c r="N60" s="52"/>
    </row>
    <row r="61" spans="1:18" x14ac:dyDescent="0.3">
      <c r="A61" s="33"/>
      <c r="B61" s="33"/>
      <c r="C61" s="46"/>
      <c r="D61" s="33"/>
      <c r="E61" s="33"/>
      <c r="F61" s="47" t="s">
        <v>94</v>
      </c>
      <c r="G61" s="53" t="s">
        <v>95</v>
      </c>
      <c r="H61" s="53"/>
      <c r="I61" s="53" t="s">
        <v>95</v>
      </c>
      <c r="J61" s="53" t="s">
        <v>95</v>
      </c>
      <c r="K61" s="53" t="s">
        <v>95</v>
      </c>
      <c r="L61" s="53" t="s">
        <v>95</v>
      </c>
      <c r="M61" s="48">
        <f>SUM(G61:L61)</f>
        <v>0</v>
      </c>
    </row>
    <row r="62" spans="1:18" x14ac:dyDescent="0.3">
      <c r="A62" s="33"/>
      <c r="B62" s="33"/>
      <c r="C62" s="46"/>
      <c r="D62" s="33"/>
      <c r="E62" s="33"/>
      <c r="F62" s="47" t="s">
        <v>96</v>
      </c>
      <c r="G62" s="53" t="s">
        <v>95</v>
      </c>
      <c r="H62" s="54"/>
      <c r="I62" s="53" t="s">
        <v>95</v>
      </c>
      <c r="J62" s="53" t="s">
        <v>95</v>
      </c>
      <c r="K62" s="53" t="s">
        <v>95</v>
      </c>
      <c r="L62" s="53" t="s">
        <v>95</v>
      </c>
      <c r="M62" s="48">
        <f>SUM(G62:L62)</f>
        <v>0</v>
      </c>
    </row>
    <row r="63" spans="1:18" ht="17.25" thickBot="1" x14ac:dyDescent="0.35">
      <c r="A63" s="33"/>
      <c r="B63" s="33"/>
      <c r="C63" s="46"/>
      <c r="D63" s="33"/>
      <c r="E63" s="33"/>
      <c r="F63" s="55" t="s">
        <v>97</v>
      </c>
      <c r="G63" s="56">
        <f t="shared" ref="G63:L63" si="21">SUM(G60:G62)</f>
        <v>0</v>
      </c>
      <c r="H63" s="56">
        <f t="shared" si="21"/>
        <v>188.16</v>
      </c>
      <c r="I63" s="56">
        <f t="shared" si="21"/>
        <v>4616.9000000000015</v>
      </c>
      <c r="J63" s="56">
        <f t="shared" si="21"/>
        <v>438.29999999999995</v>
      </c>
      <c r="K63" s="56">
        <f t="shared" si="21"/>
        <v>176.43</v>
      </c>
      <c r="L63" s="56">
        <f t="shared" si="21"/>
        <v>303.23</v>
      </c>
      <c r="M63" s="57">
        <f>SUM(G63:L63)</f>
        <v>5723.0200000000023</v>
      </c>
    </row>
    <row r="64" spans="1:18" x14ac:dyDescent="0.3">
      <c r="A64" s="33"/>
      <c r="B64" s="33"/>
      <c r="C64" s="33"/>
      <c r="D64" s="33"/>
      <c r="E64" s="33"/>
      <c r="F64" s="33"/>
      <c r="G64" s="35"/>
      <c r="H64" s="35"/>
      <c r="I64" s="35"/>
      <c r="J64" s="35"/>
      <c r="K64" s="35"/>
      <c r="L64" s="35"/>
      <c r="M64" s="3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zoomScale="85" zoomScaleNormal="85" workbookViewId="0">
      <pane xSplit="1" ySplit="2" topLeftCell="B48" activePane="bottomRight" state="frozen"/>
      <selection activeCell="F62" sqref="F62:M69"/>
      <selection pane="topRight" activeCell="F62" sqref="F62:M69"/>
      <selection pane="bottomLeft" activeCell="F62" sqref="F62:M69"/>
      <selection pane="bottomRight" activeCell="F62" sqref="F62:M69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123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18" t="s">
        <v>14</v>
      </c>
      <c r="B3" s="19" t="s">
        <v>15</v>
      </c>
      <c r="C3" s="20"/>
      <c r="D3" s="21"/>
      <c r="E3" s="22"/>
      <c r="F3" s="19"/>
      <c r="G3" s="23"/>
      <c r="H3" s="23"/>
      <c r="I3" s="23"/>
      <c r="J3" s="23"/>
      <c r="K3" s="23"/>
      <c r="L3" s="23"/>
      <c r="M3" s="23"/>
    </row>
    <row r="4" spans="1:13" x14ac:dyDescent="0.3">
      <c r="A4" s="8" t="s">
        <v>124</v>
      </c>
      <c r="B4" s="8" t="s">
        <v>165</v>
      </c>
      <c r="C4" s="9" t="s">
        <v>152</v>
      </c>
      <c r="D4" s="8" t="s">
        <v>125</v>
      </c>
      <c r="E4" s="9" t="s">
        <v>126</v>
      </c>
      <c r="F4" s="10" t="s">
        <v>127</v>
      </c>
      <c r="G4" s="11">
        <f>131.7+121.2</f>
        <v>252.89999999999998</v>
      </c>
      <c r="H4" s="11"/>
      <c r="I4" s="11"/>
      <c r="J4" s="11">
        <f>75.03+89.5</f>
        <v>164.53</v>
      </c>
      <c r="K4" s="11">
        <f>175.82+17.65</f>
        <v>193.47</v>
      </c>
      <c r="L4" s="11"/>
      <c r="M4" s="11">
        <f>SUM(G4:L4)</f>
        <v>610.9</v>
      </c>
    </row>
    <row r="5" spans="1:13" x14ac:dyDescent="0.3">
      <c r="A5" s="8" t="s">
        <v>124</v>
      </c>
      <c r="B5" s="8" t="s">
        <v>165</v>
      </c>
      <c r="C5" s="9">
        <v>43087</v>
      </c>
      <c r="D5" s="8" t="s">
        <v>172</v>
      </c>
      <c r="E5" s="9">
        <v>43103</v>
      </c>
      <c r="F5" s="10" t="s">
        <v>162</v>
      </c>
      <c r="G5" s="11"/>
      <c r="H5" s="11"/>
      <c r="I5" s="11">
        <v>57</v>
      </c>
      <c r="J5" s="11"/>
      <c r="K5" s="11"/>
      <c r="L5" s="11"/>
      <c r="M5" s="11">
        <f t="shared" ref="M5" si="0">SUM(G5:L5)</f>
        <v>57</v>
      </c>
    </row>
    <row r="6" spans="1:13" x14ac:dyDescent="0.3">
      <c r="A6" s="12" t="s">
        <v>147</v>
      </c>
      <c r="B6" s="13"/>
      <c r="C6" s="14"/>
      <c r="D6" s="15"/>
      <c r="E6" s="16"/>
      <c r="F6" s="13"/>
      <c r="G6" s="17">
        <f t="shared" ref="G6:M6" si="1">SUBTOTAL(9,G4:G5)</f>
        <v>252.89999999999998</v>
      </c>
      <c r="H6" s="17">
        <f t="shared" si="1"/>
        <v>0</v>
      </c>
      <c r="I6" s="17">
        <f t="shared" si="1"/>
        <v>57</v>
      </c>
      <c r="J6" s="17">
        <f t="shared" si="1"/>
        <v>164.53</v>
      </c>
      <c r="K6" s="17">
        <f t="shared" si="1"/>
        <v>193.47</v>
      </c>
      <c r="L6" s="17">
        <f t="shared" si="1"/>
        <v>0</v>
      </c>
      <c r="M6" s="17">
        <f t="shared" si="1"/>
        <v>667.9</v>
      </c>
    </row>
    <row r="7" spans="1:13" x14ac:dyDescent="0.3">
      <c r="A7" s="18" t="s">
        <v>163</v>
      </c>
      <c r="B7" s="19" t="s">
        <v>166</v>
      </c>
      <c r="C7" s="20"/>
      <c r="D7" s="21"/>
      <c r="E7" s="22"/>
      <c r="F7" s="19"/>
      <c r="G7" s="23"/>
      <c r="H7" s="23"/>
      <c r="I7" s="23"/>
      <c r="J7" s="23"/>
      <c r="K7" s="23"/>
      <c r="L7" s="23"/>
      <c r="M7" s="23"/>
    </row>
    <row r="8" spans="1:13" x14ac:dyDescent="0.3">
      <c r="A8" s="8" t="s">
        <v>161</v>
      </c>
      <c r="B8" s="8" t="s">
        <v>167</v>
      </c>
      <c r="C8" s="9">
        <v>43087</v>
      </c>
      <c r="D8" s="10" t="s">
        <v>173</v>
      </c>
      <c r="E8" s="9">
        <v>43066</v>
      </c>
      <c r="F8" s="24" t="s">
        <v>148</v>
      </c>
      <c r="G8" s="11">
        <v>0</v>
      </c>
      <c r="H8" s="11">
        <v>0</v>
      </c>
      <c r="I8" s="11">
        <v>66</v>
      </c>
      <c r="J8" s="11">
        <v>0</v>
      </c>
      <c r="K8" s="11">
        <v>0</v>
      </c>
      <c r="L8" s="11">
        <v>0</v>
      </c>
      <c r="M8" s="11">
        <f>SUM(G8:L8)</f>
        <v>66</v>
      </c>
    </row>
    <row r="9" spans="1:13" x14ac:dyDescent="0.3">
      <c r="A9" s="12" t="s">
        <v>160</v>
      </c>
      <c r="B9" s="13"/>
      <c r="C9" s="14"/>
      <c r="D9" s="15"/>
      <c r="E9" s="16"/>
      <c r="F9" s="13"/>
      <c r="G9" s="17">
        <f t="shared" ref="G9:M9" si="2">SUBTOTAL(9,G8:G8)</f>
        <v>0</v>
      </c>
      <c r="H9" s="17">
        <f t="shared" si="2"/>
        <v>0</v>
      </c>
      <c r="I9" s="17">
        <f t="shared" si="2"/>
        <v>66</v>
      </c>
      <c r="J9" s="17">
        <f t="shared" si="2"/>
        <v>0</v>
      </c>
      <c r="K9" s="17">
        <f t="shared" si="2"/>
        <v>0</v>
      </c>
      <c r="L9" s="17">
        <f t="shared" si="2"/>
        <v>0</v>
      </c>
      <c r="M9" s="17">
        <f t="shared" si="2"/>
        <v>66</v>
      </c>
    </row>
    <row r="10" spans="1:13" x14ac:dyDescent="0.3">
      <c r="A10" s="8" t="s">
        <v>28</v>
      </c>
      <c r="B10" s="8" t="s">
        <v>29</v>
      </c>
      <c r="C10" s="9" t="s">
        <v>157</v>
      </c>
      <c r="D10" s="10" t="s">
        <v>105</v>
      </c>
      <c r="E10" s="9" t="s">
        <v>154</v>
      </c>
      <c r="F10" s="10" t="s">
        <v>31</v>
      </c>
      <c r="G10" s="11"/>
      <c r="H10" s="11"/>
      <c r="I10" s="11">
        <f>338+47.9-41.9</f>
        <v>344</v>
      </c>
      <c r="J10" s="11">
        <v>32</v>
      </c>
      <c r="K10" s="11">
        <v>9.18</v>
      </c>
      <c r="L10" s="11"/>
      <c r="M10" s="11">
        <f>SUM(G10:L10)</f>
        <v>385.18</v>
      </c>
    </row>
    <row r="11" spans="1:13" x14ac:dyDescent="0.3">
      <c r="A11" s="8" t="s">
        <v>28</v>
      </c>
      <c r="B11" s="8" t="s">
        <v>29</v>
      </c>
      <c r="C11" s="8">
        <v>43033</v>
      </c>
      <c r="D11" s="10" t="s">
        <v>63</v>
      </c>
      <c r="E11" s="9">
        <v>43024</v>
      </c>
      <c r="F11" s="10" t="s">
        <v>31</v>
      </c>
      <c r="G11" s="11"/>
      <c r="H11" s="11"/>
      <c r="I11" s="11">
        <v>338</v>
      </c>
      <c r="J11" s="11">
        <v>45</v>
      </c>
      <c r="K11" s="11">
        <v>4.08</v>
      </c>
      <c r="L11" s="11"/>
      <c r="M11" s="11">
        <f t="shared" ref="M11:M18" si="3">SUM(G11:L11)</f>
        <v>387.08</v>
      </c>
    </row>
    <row r="12" spans="1:13" x14ac:dyDescent="0.3">
      <c r="A12" s="8" t="s">
        <v>28</v>
      </c>
      <c r="B12" s="8" t="s">
        <v>29</v>
      </c>
      <c r="C12" s="8">
        <v>43033</v>
      </c>
      <c r="D12" s="10" t="s">
        <v>128</v>
      </c>
      <c r="E12" s="9">
        <v>43005</v>
      </c>
      <c r="F12" s="10" t="s">
        <v>31</v>
      </c>
      <c r="G12" s="11"/>
      <c r="H12" s="11"/>
      <c r="I12" s="11">
        <v>338</v>
      </c>
      <c r="J12" s="11">
        <v>42</v>
      </c>
      <c r="K12" s="11">
        <v>12.64</v>
      </c>
      <c r="L12" s="11"/>
      <c r="M12" s="11">
        <f t="shared" si="3"/>
        <v>392.64</v>
      </c>
    </row>
    <row r="13" spans="1:13" x14ac:dyDescent="0.3">
      <c r="A13" s="8" t="s">
        <v>28</v>
      </c>
      <c r="B13" s="8" t="s">
        <v>29</v>
      </c>
      <c r="C13" s="8">
        <v>43033</v>
      </c>
      <c r="D13" s="10" t="s">
        <v>129</v>
      </c>
      <c r="E13" s="9">
        <v>43013</v>
      </c>
      <c r="F13" s="10" t="s">
        <v>31</v>
      </c>
      <c r="G13" s="11"/>
      <c r="H13" s="11"/>
      <c r="I13" s="11">
        <v>338</v>
      </c>
      <c r="J13" s="11">
        <v>51</v>
      </c>
      <c r="K13" s="11">
        <v>13.29</v>
      </c>
      <c r="L13" s="11"/>
      <c r="M13" s="11">
        <f t="shared" si="3"/>
        <v>402.29</v>
      </c>
    </row>
    <row r="14" spans="1:13" x14ac:dyDescent="0.3">
      <c r="A14" s="10" t="s">
        <v>28</v>
      </c>
      <c r="B14" s="8" t="s">
        <v>29</v>
      </c>
      <c r="C14" s="9" t="s">
        <v>153</v>
      </c>
      <c r="D14" s="10" t="s">
        <v>130</v>
      </c>
      <c r="E14" s="9" t="s">
        <v>131</v>
      </c>
      <c r="F14" s="10" t="s">
        <v>31</v>
      </c>
      <c r="G14" s="11"/>
      <c r="H14" s="11"/>
      <c r="I14" s="11">
        <f>278.5+33+151+41</f>
        <v>503.5</v>
      </c>
      <c r="J14" s="11">
        <v>138</v>
      </c>
      <c r="K14" s="11">
        <f>75.05+58.53+75.65</f>
        <v>209.23</v>
      </c>
      <c r="L14" s="11"/>
      <c r="M14" s="11">
        <f t="shared" si="3"/>
        <v>850.73</v>
      </c>
    </row>
    <row r="15" spans="1:13" x14ac:dyDescent="0.3">
      <c r="A15" s="10" t="s">
        <v>28</v>
      </c>
      <c r="B15" s="8" t="s">
        <v>29</v>
      </c>
      <c r="C15" s="9">
        <v>43039</v>
      </c>
      <c r="D15" s="10" t="s">
        <v>36</v>
      </c>
      <c r="E15" s="9">
        <v>43018</v>
      </c>
      <c r="F15" s="10" t="s">
        <v>31</v>
      </c>
      <c r="G15" s="11"/>
      <c r="H15" s="11"/>
      <c r="I15" s="11">
        <v>338</v>
      </c>
      <c r="J15" s="11">
        <v>40</v>
      </c>
      <c r="K15" s="11">
        <v>5.5</v>
      </c>
      <c r="L15" s="11"/>
      <c r="M15" s="11">
        <f t="shared" si="3"/>
        <v>383.5</v>
      </c>
    </row>
    <row r="16" spans="1:13" x14ac:dyDescent="0.3">
      <c r="A16" s="10" t="s">
        <v>28</v>
      </c>
      <c r="B16" s="8" t="s">
        <v>29</v>
      </c>
      <c r="C16" s="9">
        <v>43069</v>
      </c>
      <c r="D16" s="10" t="s">
        <v>132</v>
      </c>
      <c r="E16" s="9">
        <v>43032</v>
      </c>
      <c r="F16" s="10" t="s">
        <v>31</v>
      </c>
      <c r="G16" s="11"/>
      <c r="H16" s="11"/>
      <c r="I16" s="11">
        <v>338</v>
      </c>
      <c r="J16" s="11">
        <v>40</v>
      </c>
      <c r="K16" s="11">
        <v>12.49</v>
      </c>
      <c r="L16" s="11"/>
      <c r="M16" s="11">
        <f t="shared" si="3"/>
        <v>390.49</v>
      </c>
    </row>
    <row r="17" spans="1:17" x14ac:dyDescent="0.3">
      <c r="A17" s="10" t="s">
        <v>28</v>
      </c>
      <c r="B17" s="8" t="s">
        <v>29</v>
      </c>
      <c r="C17" s="9">
        <v>43069</v>
      </c>
      <c r="D17" s="10" t="s">
        <v>36</v>
      </c>
      <c r="E17" s="9">
        <v>43047</v>
      </c>
      <c r="F17" s="10" t="s">
        <v>31</v>
      </c>
      <c r="G17" s="11"/>
      <c r="H17" s="11"/>
      <c r="I17" s="11">
        <v>338</v>
      </c>
      <c r="J17" s="11">
        <v>40</v>
      </c>
      <c r="K17" s="11">
        <v>8.6</v>
      </c>
      <c r="L17" s="11"/>
      <c r="M17" s="11">
        <f t="shared" si="3"/>
        <v>386.6</v>
      </c>
    </row>
    <row r="18" spans="1:17" x14ac:dyDescent="0.3">
      <c r="A18" s="10" t="s">
        <v>28</v>
      </c>
      <c r="B18" s="8" t="s">
        <v>29</v>
      </c>
      <c r="C18" s="9">
        <v>43080</v>
      </c>
      <c r="D18" s="10" t="s">
        <v>105</v>
      </c>
      <c r="E18" s="9">
        <v>43054</v>
      </c>
      <c r="F18" s="10" t="s">
        <v>31</v>
      </c>
      <c r="G18" s="11"/>
      <c r="H18" s="11"/>
      <c r="I18" s="11">
        <v>338</v>
      </c>
      <c r="J18" s="11">
        <v>46</v>
      </c>
      <c r="K18" s="11">
        <v>7.09</v>
      </c>
      <c r="L18" s="11"/>
      <c r="M18" s="11">
        <f t="shared" si="3"/>
        <v>391.09</v>
      </c>
    </row>
    <row r="19" spans="1:17" x14ac:dyDescent="0.3">
      <c r="A19" s="12" t="s">
        <v>39</v>
      </c>
      <c r="B19" s="13"/>
      <c r="C19" s="14"/>
      <c r="D19" s="15"/>
      <c r="E19" s="16"/>
      <c r="F19" s="13"/>
      <c r="G19" s="17">
        <f t="shared" ref="G19:M19" si="4">SUBTOTAL(9,G10:G18)</f>
        <v>0</v>
      </c>
      <c r="H19" s="17">
        <f t="shared" si="4"/>
        <v>0</v>
      </c>
      <c r="I19" s="17">
        <f t="shared" si="4"/>
        <v>3213.5</v>
      </c>
      <c r="J19" s="17">
        <f t="shared" si="4"/>
        <v>474</v>
      </c>
      <c r="K19" s="17">
        <f t="shared" si="4"/>
        <v>282.09999999999997</v>
      </c>
      <c r="L19" s="17">
        <f t="shared" si="4"/>
        <v>0</v>
      </c>
      <c r="M19" s="17">
        <f t="shared" si="4"/>
        <v>3969.6</v>
      </c>
    </row>
    <row r="20" spans="1:17" x14ac:dyDescent="0.3">
      <c r="A20" s="18" t="s">
        <v>40</v>
      </c>
      <c r="B20" s="19" t="s">
        <v>41</v>
      </c>
      <c r="C20" s="20"/>
      <c r="D20" s="21"/>
      <c r="E20" s="22"/>
      <c r="F20" s="19"/>
      <c r="G20" s="23"/>
      <c r="H20" s="23"/>
      <c r="I20" s="23"/>
      <c r="J20" s="23"/>
      <c r="K20" s="23"/>
      <c r="L20" s="23"/>
      <c r="M20" s="23">
        <v>0</v>
      </c>
    </row>
    <row r="21" spans="1:17" x14ac:dyDescent="0.3">
      <c r="A21" s="10" t="s">
        <v>42</v>
      </c>
      <c r="B21" s="8" t="s">
        <v>41</v>
      </c>
      <c r="C21" s="9" t="s">
        <v>158</v>
      </c>
      <c r="D21" s="25" t="s">
        <v>106</v>
      </c>
      <c r="E21" s="9" t="s">
        <v>133</v>
      </c>
      <c r="F21" s="25" t="s">
        <v>108</v>
      </c>
      <c r="G21" s="11"/>
      <c r="H21" s="11"/>
      <c r="I21" s="11">
        <v>44.5</v>
      </c>
      <c r="J21" s="11">
        <v>14.4</v>
      </c>
      <c r="K21" s="11"/>
      <c r="L21" s="11"/>
      <c r="M21" s="11">
        <f>SUM(G21:L21)</f>
        <v>58.9</v>
      </c>
    </row>
    <row r="22" spans="1:17" x14ac:dyDescent="0.3">
      <c r="A22" s="10" t="s">
        <v>42</v>
      </c>
      <c r="B22" s="8" t="s">
        <v>41</v>
      </c>
      <c r="C22" s="9" t="s">
        <v>159</v>
      </c>
      <c r="D22" s="25" t="s">
        <v>128</v>
      </c>
      <c r="E22" s="9">
        <v>43074</v>
      </c>
      <c r="F22" s="25" t="s">
        <v>108</v>
      </c>
      <c r="G22" s="11"/>
      <c r="H22" s="11"/>
      <c r="I22" s="11">
        <v>69.400000000000006</v>
      </c>
      <c r="J22" s="11">
        <v>7.2</v>
      </c>
      <c r="K22" s="11"/>
      <c r="L22" s="11"/>
      <c r="M22" s="11">
        <f t="shared" ref="M22" si="5">SUM(G22:L22)</f>
        <v>76.600000000000009</v>
      </c>
    </row>
    <row r="23" spans="1:17" x14ac:dyDescent="0.3">
      <c r="A23" s="12" t="s">
        <v>50</v>
      </c>
      <c r="B23" s="13"/>
      <c r="C23" s="16"/>
      <c r="D23" s="15"/>
      <c r="E23" s="16"/>
      <c r="F23" s="13"/>
      <c r="G23" s="17">
        <f t="shared" ref="G23:M23" si="6">SUBTOTAL(9,G21:G22)</f>
        <v>0</v>
      </c>
      <c r="H23" s="17">
        <f t="shared" si="6"/>
        <v>0</v>
      </c>
      <c r="I23" s="17">
        <f t="shared" si="6"/>
        <v>113.9</v>
      </c>
      <c r="J23" s="17">
        <f t="shared" si="6"/>
        <v>21.6</v>
      </c>
      <c r="K23" s="17">
        <f t="shared" si="6"/>
        <v>0</v>
      </c>
      <c r="L23" s="17">
        <f t="shared" si="6"/>
        <v>0</v>
      </c>
      <c r="M23" s="17">
        <f t="shared" si="6"/>
        <v>135.5</v>
      </c>
    </row>
    <row r="24" spans="1:17" x14ac:dyDescent="0.3">
      <c r="A24" s="8" t="s">
        <v>51</v>
      </c>
      <c r="B24" s="8" t="s">
        <v>41</v>
      </c>
      <c r="C24" s="9">
        <v>43018</v>
      </c>
      <c r="D24" s="25" t="s">
        <v>128</v>
      </c>
      <c r="E24" s="9">
        <v>43074</v>
      </c>
      <c r="F24" s="24" t="s">
        <v>54</v>
      </c>
      <c r="G24" s="11"/>
      <c r="H24" s="11"/>
      <c r="I24" s="11">
        <f>54.3+54.3</f>
        <v>108.6</v>
      </c>
      <c r="J24" s="11"/>
      <c r="K24" s="11"/>
      <c r="L24" s="11"/>
      <c r="M24" s="11">
        <f>SUM(G24:L24)</f>
        <v>108.6</v>
      </c>
    </row>
    <row r="25" spans="1:17" x14ac:dyDescent="0.3">
      <c r="A25" s="10" t="s">
        <v>51</v>
      </c>
      <c r="B25" s="8" t="s">
        <v>41</v>
      </c>
      <c r="C25" s="9">
        <v>43018</v>
      </c>
      <c r="D25" s="25" t="s">
        <v>174</v>
      </c>
      <c r="E25" s="8">
        <v>43069</v>
      </c>
      <c r="F25" s="24" t="s">
        <v>54</v>
      </c>
      <c r="G25" s="11"/>
      <c r="H25" s="11"/>
      <c r="I25" s="11">
        <v>54.3</v>
      </c>
      <c r="J25" s="11"/>
      <c r="K25" s="11"/>
      <c r="L25" s="11"/>
      <c r="M25" s="11">
        <f t="shared" ref="M25:M27" si="7">SUM(G25:L25)</f>
        <v>54.3</v>
      </c>
    </row>
    <row r="26" spans="1:17" x14ac:dyDescent="0.3">
      <c r="A26" s="10" t="s">
        <v>51</v>
      </c>
      <c r="B26" s="8" t="s">
        <v>41</v>
      </c>
      <c r="C26" s="9">
        <v>43018</v>
      </c>
      <c r="D26" s="25" t="s">
        <v>174</v>
      </c>
      <c r="E26" s="8">
        <v>43083</v>
      </c>
      <c r="F26" s="24" t="s">
        <v>54</v>
      </c>
      <c r="G26" s="11"/>
      <c r="H26" s="11"/>
      <c r="I26" s="11">
        <v>54.3</v>
      </c>
      <c r="J26" s="11"/>
      <c r="K26" s="11"/>
      <c r="L26" s="11"/>
      <c r="M26" s="11">
        <f t="shared" si="7"/>
        <v>54.3</v>
      </c>
    </row>
    <row r="27" spans="1:17" x14ac:dyDescent="0.3">
      <c r="A27" s="10" t="s">
        <v>51</v>
      </c>
      <c r="B27" s="8" t="s">
        <v>41</v>
      </c>
      <c r="C27" s="9">
        <v>43087</v>
      </c>
      <c r="D27" s="25" t="s">
        <v>176</v>
      </c>
      <c r="E27" s="8">
        <v>43059</v>
      </c>
      <c r="F27" s="24" t="s">
        <v>54</v>
      </c>
      <c r="G27" s="11"/>
      <c r="H27" s="11"/>
      <c r="I27" s="11">
        <v>41</v>
      </c>
      <c r="J27" s="11"/>
      <c r="K27" s="11"/>
      <c r="L27" s="11"/>
      <c r="M27" s="11">
        <f t="shared" si="7"/>
        <v>41</v>
      </c>
    </row>
    <row r="28" spans="1:17" x14ac:dyDescent="0.3">
      <c r="A28" s="12" t="s">
        <v>60</v>
      </c>
      <c r="B28" s="13"/>
      <c r="C28" s="16"/>
      <c r="D28" s="15"/>
      <c r="E28" s="16"/>
      <c r="F28" s="13"/>
      <c r="G28" s="17">
        <f t="shared" ref="G28:M28" si="8">SUBTOTAL(9,G24:G27)</f>
        <v>0</v>
      </c>
      <c r="H28" s="17">
        <f t="shared" si="8"/>
        <v>0</v>
      </c>
      <c r="I28" s="17">
        <f t="shared" si="8"/>
        <v>258.2</v>
      </c>
      <c r="J28" s="17">
        <f t="shared" si="8"/>
        <v>0</v>
      </c>
      <c r="K28" s="17">
        <f t="shared" si="8"/>
        <v>0</v>
      </c>
      <c r="L28" s="17">
        <f t="shared" si="8"/>
        <v>0</v>
      </c>
      <c r="M28" s="17">
        <f t="shared" si="8"/>
        <v>258.2</v>
      </c>
    </row>
    <row r="29" spans="1:17" x14ac:dyDescent="0.3">
      <c r="A29" s="10" t="s">
        <v>61</v>
      </c>
      <c r="B29" s="10" t="s">
        <v>41</v>
      </c>
      <c r="C29" s="26">
        <v>43083</v>
      </c>
      <c r="D29" s="25" t="s">
        <v>105</v>
      </c>
      <c r="E29" s="9">
        <v>43076</v>
      </c>
      <c r="F29" s="25" t="s">
        <v>134</v>
      </c>
      <c r="G29" s="11"/>
      <c r="H29" s="11"/>
      <c r="I29" s="11"/>
      <c r="J29" s="11"/>
      <c r="K29" s="11">
        <v>106.95099999999999</v>
      </c>
      <c r="L29" s="11"/>
      <c r="M29" s="11">
        <f>SUM(G29:L29)</f>
        <v>106.95099999999999</v>
      </c>
      <c r="Q29" s="27"/>
    </row>
    <row r="30" spans="1:17" x14ac:dyDescent="0.3">
      <c r="A30" s="10" t="s">
        <v>61</v>
      </c>
      <c r="B30" s="10" t="s">
        <v>41</v>
      </c>
      <c r="C30" s="9">
        <v>43083</v>
      </c>
      <c r="D30" s="25" t="s">
        <v>135</v>
      </c>
      <c r="E30" s="9">
        <v>43060</v>
      </c>
      <c r="F30" s="25" t="s">
        <v>114</v>
      </c>
      <c r="G30" s="11"/>
      <c r="H30" s="11"/>
      <c r="I30" s="11">
        <v>68.900000000000006</v>
      </c>
      <c r="J30" s="11">
        <v>6.55</v>
      </c>
      <c r="K30" s="11">
        <v>0</v>
      </c>
      <c r="L30" s="11"/>
      <c r="M30" s="11">
        <f t="shared" ref="M30" si="9">SUM(G30:L30)</f>
        <v>75.45</v>
      </c>
      <c r="Q30" s="27"/>
    </row>
    <row r="31" spans="1:17" x14ac:dyDescent="0.3">
      <c r="A31" s="12" t="s">
        <v>64</v>
      </c>
      <c r="B31" s="13"/>
      <c r="C31" s="14"/>
      <c r="D31" s="15"/>
      <c r="E31" s="16"/>
      <c r="F31" s="13"/>
      <c r="G31" s="17">
        <f t="shared" ref="G31:M31" si="10">SUBTOTAL(9,G29:G30)</f>
        <v>0</v>
      </c>
      <c r="H31" s="17">
        <f t="shared" si="10"/>
        <v>0</v>
      </c>
      <c r="I31" s="17">
        <f t="shared" si="10"/>
        <v>68.900000000000006</v>
      </c>
      <c r="J31" s="17">
        <f t="shared" si="10"/>
        <v>6.55</v>
      </c>
      <c r="K31" s="17">
        <f t="shared" si="10"/>
        <v>106.95099999999999</v>
      </c>
      <c r="L31" s="17">
        <f t="shared" si="10"/>
        <v>0</v>
      </c>
      <c r="M31" s="17">
        <f t="shared" si="10"/>
        <v>182.40100000000001</v>
      </c>
      <c r="Q31" s="27"/>
    </row>
    <row r="32" spans="1:17" x14ac:dyDescent="0.3">
      <c r="A32" s="18" t="s">
        <v>65</v>
      </c>
      <c r="B32" s="19" t="s">
        <v>41</v>
      </c>
      <c r="C32" s="20"/>
      <c r="D32" s="21"/>
      <c r="E32" s="28"/>
      <c r="F32" s="19"/>
      <c r="G32" s="23"/>
      <c r="H32" s="23"/>
      <c r="I32" s="23"/>
      <c r="J32" s="23"/>
      <c r="K32" s="23"/>
      <c r="L32" s="23"/>
      <c r="M32" s="23">
        <v>0</v>
      </c>
    </row>
    <row r="33" spans="1:13" x14ac:dyDescent="0.3">
      <c r="A33" s="10" t="s">
        <v>66</v>
      </c>
      <c r="B33" s="10" t="s">
        <v>41</v>
      </c>
      <c r="C33" s="26">
        <v>43039</v>
      </c>
      <c r="D33" s="25" t="s">
        <v>116</v>
      </c>
      <c r="E33" s="9">
        <v>43006</v>
      </c>
      <c r="F33" s="11" t="s">
        <v>69</v>
      </c>
      <c r="G33" s="11"/>
      <c r="H33" s="11"/>
      <c r="I33" s="11"/>
      <c r="J33" s="11"/>
      <c r="K33" s="11"/>
      <c r="L33" s="11">
        <v>64.37</v>
      </c>
      <c r="M33" s="11">
        <f>SUM(G33:L33)</f>
        <v>64.37</v>
      </c>
    </row>
    <row r="34" spans="1:13" x14ac:dyDescent="0.3">
      <c r="A34" s="10" t="s">
        <v>66</v>
      </c>
      <c r="B34" s="10" t="s">
        <v>41</v>
      </c>
      <c r="C34" s="9">
        <v>43039</v>
      </c>
      <c r="D34" s="25" t="s">
        <v>105</v>
      </c>
      <c r="E34" s="9">
        <v>42991</v>
      </c>
      <c r="F34" s="11" t="s">
        <v>115</v>
      </c>
      <c r="G34" s="11"/>
      <c r="H34" s="11"/>
      <c r="I34" s="11"/>
      <c r="J34" s="11">
        <v>16</v>
      </c>
      <c r="K34" s="11"/>
      <c r="L34" s="11"/>
      <c r="M34" s="11">
        <f t="shared" ref="M34:M37" si="11">SUM(G34:L34)</f>
        <v>16</v>
      </c>
    </row>
    <row r="35" spans="1:13" x14ac:dyDescent="0.3">
      <c r="A35" s="10" t="s">
        <v>66</v>
      </c>
      <c r="B35" s="10" t="s">
        <v>41</v>
      </c>
      <c r="C35" s="9" t="s">
        <v>156</v>
      </c>
      <c r="D35" s="26" t="s">
        <v>132</v>
      </c>
      <c r="E35" s="9" t="s">
        <v>155</v>
      </c>
      <c r="F35" s="11" t="s">
        <v>115</v>
      </c>
      <c r="G35" s="11"/>
      <c r="H35" s="11">
        <v>193.16</v>
      </c>
      <c r="I35" s="11">
        <v>152.5</v>
      </c>
      <c r="J35" s="11">
        <v>17.5</v>
      </c>
      <c r="K35" s="11">
        <v>1</v>
      </c>
      <c r="L35" s="11"/>
      <c r="M35" s="11">
        <f t="shared" si="11"/>
        <v>364.15999999999997</v>
      </c>
    </row>
    <row r="36" spans="1:13" x14ac:dyDescent="0.3">
      <c r="A36" s="10" t="s">
        <v>66</v>
      </c>
      <c r="B36" s="10" t="s">
        <v>41</v>
      </c>
      <c r="C36" s="9">
        <v>43056</v>
      </c>
      <c r="D36" s="26" t="s">
        <v>63</v>
      </c>
      <c r="E36" s="9">
        <v>43024</v>
      </c>
      <c r="F36" s="11" t="s">
        <v>115</v>
      </c>
      <c r="G36" s="11"/>
      <c r="H36" s="11"/>
      <c r="I36" s="11"/>
      <c r="J36" s="11">
        <v>16.399999999999999</v>
      </c>
      <c r="K36" s="11"/>
      <c r="L36" s="11"/>
      <c r="M36" s="11">
        <f t="shared" si="11"/>
        <v>16.399999999999999</v>
      </c>
    </row>
    <row r="37" spans="1:13" x14ac:dyDescent="0.3">
      <c r="A37" s="10" t="s">
        <v>66</v>
      </c>
      <c r="B37" s="10" t="s">
        <v>41</v>
      </c>
      <c r="C37" s="9">
        <v>43018</v>
      </c>
      <c r="D37" s="26" t="s">
        <v>105</v>
      </c>
      <c r="E37" s="9">
        <v>43054</v>
      </c>
      <c r="F37" s="11" t="s">
        <v>115</v>
      </c>
      <c r="G37" s="11"/>
      <c r="H37" s="11"/>
      <c r="I37" s="11">
        <v>330</v>
      </c>
      <c r="J37" s="11"/>
      <c r="K37" s="11"/>
      <c r="L37" s="11"/>
      <c r="M37" s="11">
        <f t="shared" si="11"/>
        <v>330</v>
      </c>
    </row>
    <row r="38" spans="1:13" x14ac:dyDescent="0.3">
      <c r="A38" s="12" t="s">
        <v>71</v>
      </c>
      <c r="B38" s="13"/>
      <c r="C38" s="14"/>
      <c r="D38" s="15"/>
      <c r="E38" s="16"/>
      <c r="F38" s="13"/>
      <c r="G38" s="17">
        <f t="shared" ref="G38:M38" si="12">SUBTOTAL(9,G33:G37)</f>
        <v>0</v>
      </c>
      <c r="H38" s="17">
        <f t="shared" si="12"/>
        <v>193.16</v>
      </c>
      <c r="I38" s="17">
        <f t="shared" si="12"/>
        <v>482.5</v>
      </c>
      <c r="J38" s="17">
        <f t="shared" si="12"/>
        <v>49.9</v>
      </c>
      <c r="K38" s="17">
        <f t="shared" si="12"/>
        <v>1</v>
      </c>
      <c r="L38" s="17">
        <f t="shared" si="12"/>
        <v>64.37</v>
      </c>
      <c r="M38" s="17">
        <f t="shared" si="12"/>
        <v>790.93</v>
      </c>
    </row>
    <row r="39" spans="1:13" x14ac:dyDescent="0.3">
      <c r="A39" s="10" t="s">
        <v>72</v>
      </c>
      <c r="B39" s="10" t="s">
        <v>41</v>
      </c>
      <c r="C39" s="9">
        <v>43017</v>
      </c>
      <c r="D39" s="25" t="s">
        <v>105</v>
      </c>
      <c r="E39" s="9">
        <v>42991</v>
      </c>
      <c r="F39" s="11" t="s">
        <v>75</v>
      </c>
      <c r="G39" s="11"/>
      <c r="H39" s="11"/>
      <c r="I39" s="11">
        <v>62.4</v>
      </c>
      <c r="J39" s="11"/>
      <c r="K39" s="11"/>
      <c r="L39" s="11"/>
      <c r="M39" s="11">
        <f t="shared" ref="M39:M41" si="13">SUM(G39:L39)</f>
        <v>62.4</v>
      </c>
    </row>
    <row r="40" spans="1:13" x14ac:dyDescent="0.3">
      <c r="A40" s="10" t="s">
        <v>72</v>
      </c>
      <c r="B40" s="10" t="s">
        <v>41</v>
      </c>
      <c r="C40" s="9">
        <v>43017</v>
      </c>
      <c r="D40" s="26" t="s">
        <v>76</v>
      </c>
      <c r="E40" s="9">
        <v>42985</v>
      </c>
      <c r="F40" s="11" t="s">
        <v>75</v>
      </c>
      <c r="G40" s="11"/>
      <c r="H40" s="11"/>
      <c r="I40" s="11">
        <v>85.15</v>
      </c>
      <c r="J40" s="11"/>
      <c r="K40" s="11"/>
      <c r="L40" s="11"/>
      <c r="M40" s="11">
        <f t="shared" si="13"/>
        <v>85.15</v>
      </c>
    </row>
    <row r="41" spans="1:13" x14ac:dyDescent="0.3">
      <c r="A41" s="10" t="s">
        <v>72</v>
      </c>
      <c r="B41" s="10" t="s">
        <v>41</v>
      </c>
      <c r="C41" s="26">
        <v>43088</v>
      </c>
      <c r="D41" s="26" t="s">
        <v>105</v>
      </c>
      <c r="E41" s="9">
        <v>43054</v>
      </c>
      <c r="F41" s="11" t="s">
        <v>75</v>
      </c>
      <c r="G41" s="11"/>
      <c r="H41" s="11"/>
      <c r="I41" s="11">
        <v>86.65</v>
      </c>
      <c r="J41" s="11"/>
      <c r="K41" s="11"/>
      <c r="L41" s="11"/>
      <c r="M41" s="11">
        <f t="shared" si="13"/>
        <v>86.65</v>
      </c>
    </row>
    <row r="42" spans="1:13" x14ac:dyDescent="0.3">
      <c r="A42" s="12" t="s">
        <v>78</v>
      </c>
      <c r="B42" s="13" t="s">
        <v>41</v>
      </c>
      <c r="C42" s="14"/>
      <c r="D42" s="15"/>
      <c r="E42" s="16"/>
      <c r="F42" s="13"/>
      <c r="G42" s="17">
        <f t="shared" ref="G42:M42" si="14">SUBTOTAL(9,G39:G41)</f>
        <v>0</v>
      </c>
      <c r="H42" s="17">
        <f t="shared" si="14"/>
        <v>0</v>
      </c>
      <c r="I42" s="17">
        <f t="shared" si="14"/>
        <v>234.20000000000002</v>
      </c>
      <c r="J42" s="17">
        <f t="shared" si="14"/>
        <v>0</v>
      </c>
      <c r="K42" s="17">
        <f t="shared" si="14"/>
        <v>0</v>
      </c>
      <c r="L42" s="17">
        <f t="shared" si="14"/>
        <v>0</v>
      </c>
      <c r="M42" s="17">
        <f t="shared" si="14"/>
        <v>234.20000000000002</v>
      </c>
    </row>
    <row r="43" spans="1:13" x14ac:dyDescent="0.3">
      <c r="A43" s="10" t="s">
        <v>136</v>
      </c>
      <c r="B43" s="10" t="s">
        <v>41</v>
      </c>
      <c r="C43" s="9">
        <v>43039</v>
      </c>
      <c r="D43" s="26" t="s">
        <v>137</v>
      </c>
      <c r="E43" s="9">
        <v>42978</v>
      </c>
      <c r="F43" s="11" t="s">
        <v>175</v>
      </c>
      <c r="G43" s="11"/>
      <c r="H43" s="11"/>
      <c r="I43" s="11">
        <v>146.94999999999999</v>
      </c>
      <c r="J43" s="11">
        <v>17.3</v>
      </c>
      <c r="K43" s="11"/>
      <c r="L43" s="11"/>
      <c r="M43" s="11">
        <f>SUM(G43:L43)</f>
        <v>164.25</v>
      </c>
    </row>
    <row r="44" spans="1:13" x14ac:dyDescent="0.3">
      <c r="A44" s="12" t="s">
        <v>164</v>
      </c>
      <c r="B44" s="13"/>
      <c r="C44" s="14"/>
      <c r="D44" s="15"/>
      <c r="E44" s="16"/>
      <c r="F44" s="13"/>
      <c r="G44" s="17">
        <f t="shared" ref="G44:M44" si="15">SUBTOTAL(9,G43:G43)</f>
        <v>0</v>
      </c>
      <c r="H44" s="17">
        <f t="shared" si="15"/>
        <v>0</v>
      </c>
      <c r="I44" s="17">
        <f t="shared" si="15"/>
        <v>146.94999999999999</v>
      </c>
      <c r="J44" s="17">
        <f t="shared" si="15"/>
        <v>17.3</v>
      </c>
      <c r="K44" s="17">
        <f t="shared" si="15"/>
        <v>0</v>
      </c>
      <c r="L44" s="17">
        <f t="shared" si="15"/>
        <v>0</v>
      </c>
      <c r="M44" s="17">
        <f t="shared" si="15"/>
        <v>164.25</v>
      </c>
    </row>
    <row r="45" spans="1:13" x14ac:dyDescent="0.3">
      <c r="A45" s="10" t="s">
        <v>117</v>
      </c>
      <c r="B45" s="10" t="s">
        <v>41</v>
      </c>
      <c r="C45" s="26">
        <v>43054</v>
      </c>
      <c r="D45" s="26" t="s">
        <v>118</v>
      </c>
      <c r="E45" s="9" t="s">
        <v>138</v>
      </c>
      <c r="F45" s="11" t="s">
        <v>69</v>
      </c>
      <c r="G45" s="11"/>
      <c r="H45" s="11"/>
      <c r="I45" s="11"/>
      <c r="J45" s="11"/>
      <c r="K45" s="11"/>
      <c r="L45" s="11">
        <v>241.47</v>
      </c>
      <c r="M45" s="11">
        <f>SUM(G45:L45)</f>
        <v>241.47</v>
      </c>
    </row>
    <row r="46" spans="1:13" x14ac:dyDescent="0.3">
      <c r="A46" s="10" t="s">
        <v>117</v>
      </c>
      <c r="B46" s="10" t="s">
        <v>41</v>
      </c>
      <c r="C46" s="9">
        <v>43083</v>
      </c>
      <c r="D46" s="26" t="s">
        <v>139</v>
      </c>
      <c r="E46" s="9" t="s">
        <v>140</v>
      </c>
      <c r="F46" s="11" t="s">
        <v>141</v>
      </c>
      <c r="G46" s="11"/>
      <c r="H46" s="11"/>
      <c r="I46" s="11">
        <v>182.9</v>
      </c>
      <c r="J46" s="11">
        <v>16.5</v>
      </c>
      <c r="K46" s="11"/>
      <c r="L46" s="11"/>
      <c r="M46" s="11">
        <f t="shared" ref="M46" si="16">SUM(G46:L46)</f>
        <v>199.4</v>
      </c>
    </row>
    <row r="47" spans="1:13" x14ac:dyDescent="0.3">
      <c r="A47" s="12" t="s">
        <v>120</v>
      </c>
      <c r="B47" s="13"/>
      <c r="C47" s="14"/>
      <c r="D47" s="15"/>
      <c r="E47" s="16"/>
      <c r="F47" s="13"/>
      <c r="G47" s="17">
        <f t="shared" ref="G47:M47" si="17">SUBTOTAL(9,G45:G46)</f>
        <v>0</v>
      </c>
      <c r="H47" s="17">
        <f t="shared" si="17"/>
        <v>0</v>
      </c>
      <c r="I47" s="17">
        <f t="shared" si="17"/>
        <v>182.9</v>
      </c>
      <c r="J47" s="17">
        <f t="shared" si="17"/>
        <v>16.5</v>
      </c>
      <c r="K47" s="17">
        <f t="shared" si="17"/>
        <v>0</v>
      </c>
      <c r="L47" s="17">
        <f t="shared" si="17"/>
        <v>241.47</v>
      </c>
      <c r="M47" s="17">
        <f t="shared" si="17"/>
        <v>440.87</v>
      </c>
    </row>
    <row r="48" spans="1:13" x14ac:dyDescent="0.3">
      <c r="A48" s="18" t="s">
        <v>81</v>
      </c>
      <c r="B48" s="19" t="s">
        <v>41</v>
      </c>
      <c r="C48" s="20"/>
      <c r="D48" s="21"/>
      <c r="E48" s="28"/>
      <c r="F48" s="19"/>
      <c r="G48" s="23"/>
      <c r="H48" s="23"/>
      <c r="I48" s="23"/>
      <c r="J48" s="23"/>
      <c r="K48" s="23"/>
      <c r="L48" s="23"/>
      <c r="M48" s="23"/>
    </row>
    <row r="49" spans="1:18" ht="17.25" thickBot="1" x14ac:dyDescent="0.35">
      <c r="A49" s="29"/>
      <c r="B49" s="29"/>
      <c r="C49" s="30"/>
      <c r="D49" s="29"/>
      <c r="E49" s="29"/>
      <c r="F49" s="31"/>
      <c r="G49" s="32">
        <f t="shared" ref="G49:M49" si="18">SUBTOTAL(9,G3:G48)</f>
        <v>252.89999999999998</v>
      </c>
      <c r="H49" s="32">
        <f t="shared" si="18"/>
        <v>193.16</v>
      </c>
      <c r="I49" s="32">
        <f t="shared" si="18"/>
        <v>4824.0499999999984</v>
      </c>
      <c r="J49" s="32">
        <f t="shared" si="18"/>
        <v>750.37999999999988</v>
      </c>
      <c r="K49" s="32">
        <f t="shared" si="18"/>
        <v>583.52099999999996</v>
      </c>
      <c r="L49" s="32">
        <f t="shared" si="18"/>
        <v>305.84000000000003</v>
      </c>
      <c r="M49" s="32">
        <f t="shared" si="18"/>
        <v>6909.8509999999987</v>
      </c>
    </row>
    <row r="50" spans="1:18" ht="17.25" thickTop="1" x14ac:dyDescent="0.3">
      <c r="A50" s="33"/>
      <c r="B50" s="33"/>
      <c r="C50" s="34"/>
      <c r="D50" s="33"/>
      <c r="E50" s="33"/>
      <c r="F50" s="33"/>
      <c r="G50" s="35"/>
      <c r="H50" s="35"/>
      <c r="I50" s="35"/>
      <c r="J50" s="35"/>
      <c r="K50" s="35"/>
      <c r="L50" s="35"/>
      <c r="M50" s="35"/>
      <c r="O50" s="36"/>
      <c r="R50" s="37"/>
    </row>
    <row r="51" spans="1:18" x14ac:dyDescent="0.3">
      <c r="E51" s="38"/>
      <c r="F51" s="38"/>
      <c r="N51" s="36"/>
      <c r="O51" s="36"/>
    </row>
    <row r="52" spans="1:18" ht="17.25" thickBot="1" x14ac:dyDescent="0.35">
      <c r="A52" s="33"/>
      <c r="B52" s="33"/>
      <c r="C52" s="34"/>
      <c r="D52" s="33"/>
      <c r="E52" s="33"/>
      <c r="F52" s="33"/>
      <c r="G52" s="35"/>
      <c r="H52" s="35"/>
      <c r="I52" s="35"/>
      <c r="J52" s="35"/>
      <c r="K52" s="35"/>
      <c r="L52" s="35"/>
      <c r="M52" s="35"/>
      <c r="O52" s="36"/>
    </row>
    <row r="53" spans="1:18" ht="17.25" thickBot="1" x14ac:dyDescent="0.35">
      <c r="A53" s="33"/>
      <c r="B53" s="33"/>
      <c r="C53" s="33"/>
      <c r="D53" s="33"/>
      <c r="E53" s="33"/>
      <c r="F53" s="39" t="s">
        <v>86</v>
      </c>
      <c r="G53" s="40"/>
      <c r="H53" s="40"/>
      <c r="I53" s="40"/>
      <c r="J53" s="40"/>
      <c r="K53" s="40"/>
      <c r="L53" s="40"/>
      <c r="M53" s="41"/>
    </row>
    <row r="54" spans="1:18" ht="52.5" x14ac:dyDescent="0.3">
      <c r="A54" s="33"/>
      <c r="B54" s="33"/>
      <c r="C54" s="33"/>
      <c r="D54" s="33"/>
      <c r="E54" s="33"/>
      <c r="F54" s="42"/>
      <c r="G54" s="43" t="s">
        <v>7</v>
      </c>
      <c r="H54" s="44" t="s">
        <v>87</v>
      </c>
      <c r="I54" s="44" t="s">
        <v>88</v>
      </c>
      <c r="J54" s="44" t="s">
        <v>89</v>
      </c>
      <c r="K54" s="44" t="s">
        <v>11</v>
      </c>
      <c r="L54" s="44" t="s">
        <v>12</v>
      </c>
      <c r="M54" s="45" t="s">
        <v>90</v>
      </c>
    </row>
    <row r="55" spans="1:18" x14ac:dyDescent="0.3">
      <c r="A55" s="33"/>
      <c r="B55" s="33"/>
      <c r="C55" s="46"/>
      <c r="D55" s="33"/>
      <c r="E55" s="33"/>
      <c r="F55" s="47" t="s">
        <v>91</v>
      </c>
      <c r="G55" s="48">
        <f>G49-G56</f>
        <v>252.89999999999998</v>
      </c>
      <c r="H55" s="48">
        <f t="shared" ref="H55:M55" si="19">H49-H56</f>
        <v>193.16</v>
      </c>
      <c r="I55" s="48">
        <f t="shared" si="19"/>
        <v>4824.0499999999984</v>
      </c>
      <c r="J55" s="48">
        <f t="shared" si="19"/>
        <v>750.37999999999988</v>
      </c>
      <c r="K55" s="48">
        <f t="shared" si="19"/>
        <v>583.52099999999996</v>
      </c>
      <c r="L55" s="48">
        <f t="shared" si="19"/>
        <v>305.84000000000003</v>
      </c>
      <c r="M55" s="48">
        <f t="shared" si="19"/>
        <v>6909.8509999999987</v>
      </c>
    </row>
    <row r="56" spans="1:18" x14ac:dyDescent="0.3">
      <c r="A56" s="33"/>
      <c r="B56" s="33"/>
      <c r="C56" s="46"/>
      <c r="D56" s="33"/>
      <c r="E56" s="33"/>
      <c r="F56" s="47" t="s">
        <v>92</v>
      </c>
      <c r="G56" s="48">
        <f t="shared" ref="G56:L56" si="20">G3</f>
        <v>0</v>
      </c>
      <c r="H56" s="48">
        <f t="shared" si="20"/>
        <v>0</v>
      </c>
      <c r="I56" s="48">
        <f t="shared" si="20"/>
        <v>0</v>
      </c>
      <c r="J56" s="48">
        <f t="shared" si="20"/>
        <v>0</v>
      </c>
      <c r="K56" s="48">
        <f t="shared" si="20"/>
        <v>0</v>
      </c>
      <c r="L56" s="48">
        <f t="shared" si="20"/>
        <v>0</v>
      </c>
      <c r="M56" s="48">
        <f>SUM(G56:L56)</f>
        <v>0</v>
      </c>
    </row>
    <row r="57" spans="1:18" x14ac:dyDescent="0.3">
      <c r="A57" s="33"/>
      <c r="B57" s="33"/>
      <c r="C57" s="46"/>
      <c r="D57" s="33"/>
      <c r="E57" s="33"/>
      <c r="F57" s="49" t="s">
        <v>93</v>
      </c>
      <c r="G57" s="50">
        <f t="shared" ref="G57:L57" si="21">SUM(G55:G56)</f>
        <v>252.89999999999998</v>
      </c>
      <c r="H57" s="50">
        <f t="shared" si="21"/>
        <v>193.16</v>
      </c>
      <c r="I57" s="50">
        <f t="shared" si="21"/>
        <v>4824.0499999999984</v>
      </c>
      <c r="J57" s="50">
        <f t="shared" si="21"/>
        <v>750.37999999999988</v>
      </c>
      <c r="K57" s="50">
        <f t="shared" si="21"/>
        <v>583.52099999999996</v>
      </c>
      <c r="L57" s="50">
        <f t="shared" si="21"/>
        <v>305.84000000000003</v>
      </c>
      <c r="M57" s="51">
        <f>SUM(G57:L57)</f>
        <v>6909.8509999999987</v>
      </c>
      <c r="N57" s="52"/>
    </row>
    <row r="58" spans="1:18" x14ac:dyDescent="0.3">
      <c r="A58" s="33"/>
      <c r="B58" s="33"/>
      <c r="C58" s="46"/>
      <c r="D58" s="33"/>
      <c r="E58" s="33"/>
      <c r="F58" s="47" t="s">
        <v>94</v>
      </c>
      <c r="G58" s="53" t="s">
        <v>95</v>
      </c>
      <c r="H58" s="53"/>
      <c r="I58" s="53" t="s">
        <v>95</v>
      </c>
      <c r="J58" s="53" t="s">
        <v>95</v>
      </c>
      <c r="K58" s="53" t="s">
        <v>95</v>
      </c>
      <c r="L58" s="53" t="s">
        <v>95</v>
      </c>
      <c r="M58" s="48">
        <f>SUM(G58:L58)</f>
        <v>0</v>
      </c>
    </row>
    <row r="59" spans="1:18" x14ac:dyDescent="0.3">
      <c r="A59" s="33"/>
      <c r="B59" s="33"/>
      <c r="C59" s="46"/>
      <c r="D59" s="33"/>
      <c r="E59" s="33"/>
      <c r="F59" s="47" t="s">
        <v>96</v>
      </c>
      <c r="G59" s="53" t="s">
        <v>95</v>
      </c>
      <c r="H59" s="54"/>
      <c r="I59" s="53" t="s">
        <v>95</v>
      </c>
      <c r="J59" s="53" t="s">
        <v>95</v>
      </c>
      <c r="K59" s="53" t="s">
        <v>95</v>
      </c>
      <c r="L59" s="53" t="s">
        <v>95</v>
      </c>
      <c r="M59" s="48">
        <f>SUM(G59:L59)</f>
        <v>0</v>
      </c>
    </row>
    <row r="60" spans="1:18" ht="17.25" thickBot="1" x14ac:dyDescent="0.35">
      <c r="A60" s="33"/>
      <c r="B60" s="33"/>
      <c r="C60" s="46"/>
      <c r="D60" s="33"/>
      <c r="E60" s="33"/>
      <c r="F60" s="55" t="s">
        <v>97</v>
      </c>
      <c r="G60" s="56">
        <f t="shared" ref="G60:L60" si="22">SUM(G57:G59)</f>
        <v>252.89999999999998</v>
      </c>
      <c r="H60" s="56">
        <f t="shared" si="22"/>
        <v>193.16</v>
      </c>
      <c r="I60" s="56">
        <f t="shared" si="22"/>
        <v>4824.0499999999984</v>
      </c>
      <c r="J60" s="56">
        <f t="shared" si="22"/>
        <v>750.37999999999988</v>
      </c>
      <c r="K60" s="56">
        <f t="shared" si="22"/>
        <v>583.52099999999996</v>
      </c>
      <c r="L60" s="56">
        <f t="shared" si="22"/>
        <v>305.84000000000003</v>
      </c>
      <c r="M60" s="57">
        <f>SUM(G60:L60)</f>
        <v>6909.8509999999987</v>
      </c>
    </row>
    <row r="61" spans="1:18" x14ac:dyDescent="0.3">
      <c r="A61" s="33"/>
      <c r="B61" s="33"/>
      <c r="C61" s="33"/>
      <c r="D61" s="33"/>
      <c r="E61" s="33"/>
      <c r="F61" s="33"/>
      <c r="G61" s="35"/>
      <c r="H61" s="35"/>
      <c r="I61" s="35"/>
      <c r="J61" s="35"/>
      <c r="K61" s="35"/>
      <c r="L61" s="35"/>
      <c r="M61" s="35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3"/>
  <sheetViews>
    <sheetView zoomScale="85" zoomScaleNormal="85" workbookViewId="0">
      <pane xSplit="1" ySplit="2" topLeftCell="B63" activePane="bottomRight" state="frozen"/>
      <selection activeCell="F62" sqref="F62:M69"/>
      <selection pane="topRight" activeCell="F62" sqref="F62:M69"/>
      <selection pane="bottomLeft" activeCell="F62" sqref="F62:M69"/>
      <selection pane="bottomRight" activeCell="F62" sqref="F62:M69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8" t="s">
        <v>14</v>
      </c>
      <c r="B3" s="8" t="s">
        <v>15</v>
      </c>
      <c r="C3" s="9" t="s">
        <v>199</v>
      </c>
      <c r="D3" s="8" t="s">
        <v>184</v>
      </c>
      <c r="E3" s="9">
        <v>43104</v>
      </c>
      <c r="F3" s="10" t="s">
        <v>162</v>
      </c>
      <c r="G3" s="11"/>
      <c r="H3" s="11"/>
      <c r="I3" s="11">
        <f>39.5+110</f>
        <v>149.5</v>
      </c>
      <c r="J3" s="11"/>
      <c r="K3" s="11"/>
      <c r="L3" s="11"/>
      <c r="M3" s="11">
        <f>SUM(G3:L3)</f>
        <v>149.5</v>
      </c>
    </row>
    <row r="4" spans="1:13" x14ac:dyDescent="0.3">
      <c r="A4" s="8" t="s">
        <v>14</v>
      </c>
      <c r="B4" s="8" t="s">
        <v>15</v>
      </c>
      <c r="C4" s="9">
        <v>43182</v>
      </c>
      <c r="D4" s="8" t="s">
        <v>202</v>
      </c>
      <c r="E4" s="9">
        <v>43153</v>
      </c>
      <c r="F4" s="10" t="s">
        <v>201</v>
      </c>
      <c r="G4" s="11">
        <v>232.04</v>
      </c>
      <c r="H4" s="11"/>
      <c r="I4" s="11"/>
      <c r="J4" s="11"/>
      <c r="K4" s="11"/>
      <c r="L4" s="11"/>
      <c r="M4" s="11">
        <f t="shared" ref="M4" si="0">SUM(G4:L4)</f>
        <v>232.04</v>
      </c>
    </row>
    <row r="5" spans="1:13" x14ac:dyDescent="0.3">
      <c r="A5" s="12" t="s">
        <v>20</v>
      </c>
      <c r="B5" s="13" t="s">
        <v>15</v>
      </c>
      <c r="C5" s="14"/>
      <c r="D5" s="15"/>
      <c r="E5" s="16"/>
      <c r="F5" s="13"/>
      <c r="G5" s="17">
        <f t="shared" ref="G5:L5" si="1">SUBTOTAL(9,G3:G4)</f>
        <v>232.04</v>
      </c>
      <c r="H5" s="17">
        <f t="shared" si="1"/>
        <v>0</v>
      </c>
      <c r="I5" s="17">
        <f t="shared" si="1"/>
        <v>149.5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>SUBTOTAL(9,M3:M4)</f>
        <v>381.53999999999996</v>
      </c>
    </row>
    <row r="6" spans="1:13" x14ac:dyDescent="0.3">
      <c r="A6" s="8" t="s">
        <v>124</v>
      </c>
      <c r="B6" s="8" t="s">
        <v>165</v>
      </c>
      <c r="C6" s="9">
        <v>43153</v>
      </c>
      <c r="D6" s="8" t="s">
        <v>202</v>
      </c>
      <c r="E6" s="9">
        <v>43157</v>
      </c>
      <c r="F6" s="10" t="s">
        <v>25</v>
      </c>
      <c r="G6" s="11">
        <v>0</v>
      </c>
      <c r="H6" s="11"/>
      <c r="I6" s="11">
        <v>89.95</v>
      </c>
      <c r="J6" s="11"/>
      <c r="K6" s="11">
        <v>62.6</v>
      </c>
      <c r="L6" s="11"/>
      <c r="M6" s="11">
        <f>SUM(G6:L6)</f>
        <v>152.55000000000001</v>
      </c>
    </row>
    <row r="7" spans="1:13" x14ac:dyDescent="0.3">
      <c r="A7" s="12" t="s">
        <v>147</v>
      </c>
      <c r="B7" s="13"/>
      <c r="C7" s="14"/>
      <c r="D7" s="15"/>
      <c r="E7" s="16"/>
      <c r="F7" s="13"/>
      <c r="G7" s="17">
        <f t="shared" ref="G7:L7" si="2">SUBTOTAL(9,G6:G6)</f>
        <v>0</v>
      </c>
      <c r="H7" s="17">
        <f t="shared" si="2"/>
        <v>0</v>
      </c>
      <c r="I7" s="17">
        <f t="shared" si="2"/>
        <v>89.95</v>
      </c>
      <c r="J7" s="17">
        <f t="shared" si="2"/>
        <v>0</v>
      </c>
      <c r="K7" s="17">
        <f t="shared" si="2"/>
        <v>62.6</v>
      </c>
      <c r="L7" s="17">
        <f t="shared" si="2"/>
        <v>0</v>
      </c>
      <c r="M7" s="17">
        <f>SUBTOTAL(9,M6:M6)</f>
        <v>152.55000000000001</v>
      </c>
    </row>
    <row r="8" spans="1:13" x14ac:dyDescent="0.3">
      <c r="A8" s="8" t="s">
        <v>161</v>
      </c>
      <c r="B8" s="8" t="s">
        <v>167</v>
      </c>
      <c r="C8" s="9">
        <v>43153</v>
      </c>
      <c r="D8" s="8" t="s">
        <v>184</v>
      </c>
      <c r="E8" s="9">
        <v>43122</v>
      </c>
      <c r="F8" s="24" t="s">
        <v>162</v>
      </c>
      <c r="G8" s="11">
        <v>0</v>
      </c>
      <c r="H8" s="11">
        <v>0</v>
      </c>
      <c r="I8" s="11">
        <v>87.9</v>
      </c>
      <c r="J8" s="11">
        <v>0</v>
      </c>
      <c r="K8" s="11">
        <v>0</v>
      </c>
      <c r="L8" s="11">
        <v>0</v>
      </c>
      <c r="M8" s="11">
        <f>SUM(G8:L8)</f>
        <v>87.9</v>
      </c>
    </row>
    <row r="9" spans="1:13" x14ac:dyDescent="0.3">
      <c r="A9" s="8" t="s">
        <v>161</v>
      </c>
      <c r="B9" s="8" t="s">
        <v>167</v>
      </c>
      <c r="C9" s="9">
        <v>43153</v>
      </c>
      <c r="D9" s="10" t="s">
        <v>202</v>
      </c>
      <c r="E9" s="9">
        <v>43151</v>
      </c>
      <c r="F9" s="24" t="s">
        <v>203</v>
      </c>
      <c r="G9" s="11"/>
      <c r="H9" s="11"/>
      <c r="I9" s="11">
        <v>92</v>
      </c>
      <c r="J9" s="11"/>
      <c r="K9" s="11"/>
      <c r="L9" s="11"/>
      <c r="M9" s="11">
        <f>SUM(G9:L9)</f>
        <v>92</v>
      </c>
    </row>
    <row r="10" spans="1:13" x14ac:dyDescent="0.3">
      <c r="A10" s="12" t="s">
        <v>160</v>
      </c>
      <c r="B10" s="13"/>
      <c r="C10" s="14"/>
      <c r="D10" s="15"/>
      <c r="E10" s="16"/>
      <c r="F10" s="13"/>
      <c r="G10" s="17">
        <f t="shared" ref="G10:L10" si="3">SUBTOTAL(9,G8:G9)</f>
        <v>0</v>
      </c>
      <c r="H10" s="17">
        <f t="shared" si="3"/>
        <v>0</v>
      </c>
      <c r="I10" s="17">
        <f t="shared" si="3"/>
        <v>179.9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>SUBTOTAL(9,M8:M9)</f>
        <v>179.9</v>
      </c>
    </row>
    <row r="11" spans="1:13" x14ac:dyDescent="0.3">
      <c r="A11" s="18" t="s">
        <v>178</v>
      </c>
      <c r="B11" s="19" t="s">
        <v>166</v>
      </c>
      <c r="C11" s="20"/>
      <c r="D11" s="21"/>
      <c r="E11" s="22"/>
      <c r="F11" s="19"/>
      <c r="G11" s="23"/>
      <c r="H11" s="23"/>
      <c r="I11" s="23"/>
      <c r="J11" s="23"/>
      <c r="K11" s="23"/>
      <c r="L11" s="23"/>
      <c r="M11" s="23"/>
    </row>
    <row r="12" spans="1:13" x14ac:dyDescent="0.3">
      <c r="A12" s="8" t="s">
        <v>28</v>
      </c>
      <c r="B12" s="8" t="s">
        <v>29</v>
      </c>
      <c r="C12" s="9" t="s">
        <v>196</v>
      </c>
      <c r="D12" s="10" t="s">
        <v>179</v>
      </c>
      <c r="E12" s="9">
        <v>43077</v>
      </c>
      <c r="F12" s="10" t="s">
        <v>31</v>
      </c>
      <c r="G12" s="11"/>
      <c r="H12" s="11"/>
      <c r="I12" s="11">
        <v>213.1</v>
      </c>
      <c r="J12" s="11">
        <v>37</v>
      </c>
      <c r="K12" s="11">
        <f>11.7+108.63</f>
        <v>120.33</v>
      </c>
      <c r="L12" s="11"/>
      <c r="M12" s="11">
        <f>SUM(G12:L12)</f>
        <v>370.43</v>
      </c>
    </row>
    <row r="13" spans="1:13" x14ac:dyDescent="0.3">
      <c r="A13" s="8" t="s">
        <v>28</v>
      </c>
      <c r="B13" s="8" t="s">
        <v>29</v>
      </c>
      <c r="C13" s="8">
        <v>43131</v>
      </c>
      <c r="D13" s="10" t="s">
        <v>180</v>
      </c>
      <c r="E13" s="9">
        <v>43068</v>
      </c>
      <c r="F13" s="10" t="s">
        <v>31</v>
      </c>
      <c r="G13" s="11"/>
      <c r="H13" s="11"/>
      <c r="I13" s="11">
        <v>210.7</v>
      </c>
      <c r="J13" s="11">
        <v>33</v>
      </c>
      <c r="K13" s="11">
        <v>7.85</v>
      </c>
      <c r="L13" s="11"/>
      <c r="M13" s="11">
        <f t="shared" ref="M13:M25" si="4">SUM(G13:L13)</f>
        <v>251.54999999999998</v>
      </c>
    </row>
    <row r="14" spans="1:13" x14ac:dyDescent="0.3">
      <c r="A14" s="8" t="s">
        <v>28</v>
      </c>
      <c r="B14" s="8" t="s">
        <v>29</v>
      </c>
      <c r="C14" s="8">
        <v>43131</v>
      </c>
      <c r="D14" s="10" t="s">
        <v>181</v>
      </c>
      <c r="E14" s="9">
        <v>43059</v>
      </c>
      <c r="F14" s="10" t="s">
        <v>31</v>
      </c>
      <c r="G14" s="11"/>
      <c r="H14" s="11"/>
      <c r="I14" s="11">
        <v>210.7</v>
      </c>
      <c r="J14" s="11">
        <v>40</v>
      </c>
      <c r="K14" s="11">
        <v>4.79</v>
      </c>
      <c r="L14" s="11"/>
      <c r="M14" s="11">
        <f t="shared" si="4"/>
        <v>255.48999999999998</v>
      </c>
    </row>
    <row r="15" spans="1:13" x14ac:dyDescent="0.3">
      <c r="A15" s="8" t="s">
        <v>28</v>
      </c>
      <c r="B15" s="8" t="s">
        <v>29</v>
      </c>
      <c r="C15" s="8">
        <v>43131</v>
      </c>
      <c r="D15" s="10" t="s">
        <v>182</v>
      </c>
      <c r="E15" s="9">
        <v>43063</v>
      </c>
      <c r="F15" s="10" t="s">
        <v>31</v>
      </c>
      <c r="G15" s="11"/>
      <c r="H15" s="11"/>
      <c r="I15" s="11">
        <v>164.5</v>
      </c>
      <c r="J15" s="11">
        <v>47</v>
      </c>
      <c r="K15" s="11">
        <f>139+3.99</f>
        <v>142.99</v>
      </c>
      <c r="L15" s="11"/>
      <c r="M15" s="11">
        <f t="shared" si="4"/>
        <v>354.49</v>
      </c>
    </row>
    <row r="16" spans="1:13" x14ac:dyDescent="0.3">
      <c r="A16" s="10" t="s">
        <v>28</v>
      </c>
      <c r="B16" s="8" t="s">
        <v>29</v>
      </c>
      <c r="C16" s="9">
        <v>43131</v>
      </c>
      <c r="D16" s="10" t="s">
        <v>183</v>
      </c>
      <c r="E16" s="9">
        <v>43089</v>
      </c>
      <c r="F16" s="10" t="s">
        <v>31</v>
      </c>
      <c r="G16" s="11"/>
      <c r="H16" s="11"/>
      <c r="I16" s="11">
        <v>338</v>
      </c>
      <c r="J16" s="11">
        <v>41</v>
      </c>
      <c r="K16" s="11">
        <v>12.32</v>
      </c>
      <c r="L16" s="11"/>
      <c r="M16" s="11">
        <f t="shared" si="4"/>
        <v>391.32</v>
      </c>
    </row>
    <row r="17" spans="1:13" x14ac:dyDescent="0.3">
      <c r="A17" s="10" t="s">
        <v>28</v>
      </c>
      <c r="B17" s="8" t="s">
        <v>29</v>
      </c>
      <c r="C17" s="9">
        <v>43131</v>
      </c>
      <c r="D17" s="10" t="s">
        <v>184</v>
      </c>
      <c r="E17" s="9">
        <v>43104</v>
      </c>
      <c r="F17" s="10"/>
      <c r="G17" s="11"/>
      <c r="H17" s="11"/>
      <c r="I17" s="11"/>
      <c r="J17" s="11">
        <f>12.4+39.78</f>
        <v>52.18</v>
      </c>
      <c r="K17" s="11"/>
      <c r="L17" s="11"/>
      <c r="M17" s="11">
        <f t="shared" si="4"/>
        <v>52.18</v>
      </c>
    </row>
    <row r="18" spans="1:13" x14ac:dyDescent="0.3">
      <c r="A18" s="10" t="s">
        <v>28</v>
      </c>
      <c r="B18" s="8" t="s">
        <v>29</v>
      </c>
      <c r="C18" s="9">
        <v>43167</v>
      </c>
      <c r="D18" s="10" t="s">
        <v>183</v>
      </c>
      <c r="E18" s="9">
        <v>43159</v>
      </c>
      <c r="F18" s="10" t="s">
        <v>31</v>
      </c>
      <c r="G18" s="11"/>
      <c r="H18" s="11"/>
      <c r="I18" s="11">
        <v>338</v>
      </c>
      <c r="J18" s="11">
        <v>35</v>
      </c>
      <c r="K18" s="11"/>
      <c r="L18" s="11"/>
      <c r="M18" s="11">
        <f t="shared" si="4"/>
        <v>373</v>
      </c>
    </row>
    <row r="19" spans="1:13" x14ac:dyDescent="0.3">
      <c r="A19" s="10" t="s">
        <v>28</v>
      </c>
      <c r="B19" s="8" t="s">
        <v>29</v>
      </c>
      <c r="C19" s="9">
        <v>43167</v>
      </c>
      <c r="D19" s="10" t="s">
        <v>183</v>
      </c>
      <c r="E19" s="9">
        <v>43151</v>
      </c>
      <c r="F19" s="10" t="s">
        <v>31</v>
      </c>
      <c r="G19" s="11"/>
      <c r="H19" s="11"/>
      <c r="I19" s="11">
        <f>338+2.4</f>
        <v>340.4</v>
      </c>
      <c r="J19" s="11">
        <v>31</v>
      </c>
      <c r="K19" s="11">
        <v>8.0500000000000007</v>
      </c>
      <c r="L19" s="11"/>
      <c r="M19" s="11">
        <f t="shared" si="4"/>
        <v>379.45</v>
      </c>
    </row>
    <row r="20" spans="1:13" x14ac:dyDescent="0.3">
      <c r="A20" s="10" t="s">
        <v>28</v>
      </c>
      <c r="B20" s="8" t="s">
        <v>29</v>
      </c>
      <c r="C20" s="9">
        <v>43167</v>
      </c>
      <c r="D20" s="10" t="s">
        <v>183</v>
      </c>
      <c r="E20" s="9">
        <v>43117</v>
      </c>
      <c r="F20" s="10" t="s">
        <v>31</v>
      </c>
      <c r="G20" s="11"/>
      <c r="H20" s="11"/>
      <c r="I20" s="11">
        <v>338</v>
      </c>
      <c r="J20" s="11">
        <f>18+14+12+7</f>
        <v>51</v>
      </c>
      <c r="K20" s="11">
        <f>3.59+3.49</f>
        <v>7.08</v>
      </c>
      <c r="L20" s="11"/>
      <c r="M20" s="11">
        <f t="shared" si="4"/>
        <v>396.08</v>
      </c>
    </row>
    <row r="21" spans="1:13" x14ac:dyDescent="0.3">
      <c r="A21" s="10" t="s">
        <v>28</v>
      </c>
      <c r="B21" s="8" t="s">
        <v>29</v>
      </c>
      <c r="C21" s="9">
        <v>43167</v>
      </c>
      <c r="D21" s="10" t="s">
        <v>183</v>
      </c>
      <c r="E21" s="9">
        <v>43124</v>
      </c>
      <c r="F21" s="10" t="s">
        <v>31</v>
      </c>
      <c r="G21" s="11"/>
      <c r="H21" s="11"/>
      <c r="I21" s="11">
        <v>338</v>
      </c>
      <c r="J21" s="11">
        <v>54</v>
      </c>
      <c r="K21" s="11">
        <v>11.58</v>
      </c>
      <c r="L21" s="11"/>
      <c r="M21" s="11">
        <f t="shared" si="4"/>
        <v>403.58</v>
      </c>
    </row>
    <row r="22" spans="1:13" x14ac:dyDescent="0.3">
      <c r="A22" s="10" t="s">
        <v>28</v>
      </c>
      <c r="B22" s="8" t="s">
        <v>29</v>
      </c>
      <c r="C22" s="9">
        <v>43167</v>
      </c>
      <c r="D22" s="10" t="s">
        <v>183</v>
      </c>
      <c r="E22" s="9">
        <v>43129</v>
      </c>
      <c r="F22" s="10" t="s">
        <v>31</v>
      </c>
      <c r="G22" s="11"/>
      <c r="H22" s="11"/>
      <c r="I22" s="11">
        <v>338</v>
      </c>
      <c r="J22" s="11">
        <v>24</v>
      </c>
      <c r="K22" s="11">
        <v>14.23</v>
      </c>
      <c r="L22" s="11"/>
      <c r="M22" s="11">
        <f t="shared" si="4"/>
        <v>376.23</v>
      </c>
    </row>
    <row r="23" spans="1:13" x14ac:dyDescent="0.3">
      <c r="A23" s="10" t="s">
        <v>28</v>
      </c>
      <c r="B23" s="8" t="s">
        <v>29</v>
      </c>
      <c r="C23" s="9">
        <v>43167</v>
      </c>
      <c r="D23" s="10" t="s">
        <v>183</v>
      </c>
      <c r="E23" s="9">
        <v>43136</v>
      </c>
      <c r="F23" s="10" t="s">
        <v>31</v>
      </c>
      <c r="G23" s="11"/>
      <c r="H23" s="11"/>
      <c r="I23" s="11">
        <v>338</v>
      </c>
      <c r="J23" s="11">
        <v>39</v>
      </c>
      <c r="K23" s="11">
        <v>5.78</v>
      </c>
      <c r="L23" s="11"/>
      <c r="M23" s="11">
        <f t="shared" si="4"/>
        <v>382.78</v>
      </c>
    </row>
    <row r="24" spans="1:13" x14ac:dyDescent="0.3">
      <c r="A24" s="10" t="s">
        <v>28</v>
      </c>
      <c r="B24" s="8" t="s">
        <v>29</v>
      </c>
      <c r="C24" s="9">
        <v>43167</v>
      </c>
      <c r="D24" s="10" t="s">
        <v>183</v>
      </c>
      <c r="E24" s="9">
        <v>43144</v>
      </c>
      <c r="F24" s="10" t="s">
        <v>31</v>
      </c>
      <c r="G24" s="11"/>
      <c r="H24" s="11"/>
      <c r="I24" s="11">
        <v>338</v>
      </c>
      <c r="J24" s="11">
        <v>34</v>
      </c>
      <c r="K24" s="11">
        <v>13.7</v>
      </c>
      <c r="L24" s="11"/>
      <c r="M24" s="11">
        <f t="shared" si="4"/>
        <v>385.7</v>
      </c>
    </row>
    <row r="25" spans="1:13" x14ac:dyDescent="0.3">
      <c r="A25" s="10" t="s">
        <v>28</v>
      </c>
      <c r="B25" s="8" t="s">
        <v>29</v>
      </c>
      <c r="C25" s="9">
        <v>43172</v>
      </c>
      <c r="D25" s="10" t="s">
        <v>183</v>
      </c>
      <c r="E25" s="9">
        <v>43112</v>
      </c>
      <c r="F25" s="10" t="s">
        <v>31</v>
      </c>
      <c r="G25" s="11"/>
      <c r="H25" s="11"/>
      <c r="I25" s="11">
        <v>286</v>
      </c>
      <c r="J25" s="11">
        <v>41</v>
      </c>
      <c r="K25" s="11">
        <v>8.0500000000000007</v>
      </c>
      <c r="L25" s="11"/>
      <c r="M25" s="11">
        <f t="shared" si="4"/>
        <v>335.05</v>
      </c>
    </row>
    <row r="26" spans="1:13" x14ac:dyDescent="0.3">
      <c r="A26" s="12" t="s">
        <v>39</v>
      </c>
      <c r="B26" s="13"/>
      <c r="C26" s="14"/>
      <c r="D26" s="15"/>
      <c r="E26" s="16"/>
      <c r="F26" s="13"/>
      <c r="G26" s="17">
        <f t="shared" ref="G26:L26" si="5">SUBTOTAL(9,G12:G25)</f>
        <v>0</v>
      </c>
      <c r="H26" s="17">
        <f t="shared" si="5"/>
        <v>0</v>
      </c>
      <c r="I26" s="17">
        <f t="shared" si="5"/>
        <v>3791.4</v>
      </c>
      <c r="J26" s="17">
        <f t="shared" si="5"/>
        <v>559.18000000000006</v>
      </c>
      <c r="K26" s="17">
        <f t="shared" si="5"/>
        <v>356.75</v>
      </c>
      <c r="L26" s="17">
        <f t="shared" si="5"/>
        <v>0</v>
      </c>
      <c r="M26" s="17">
        <f>SUBTOTAL(9,M12:M25)</f>
        <v>4707.33</v>
      </c>
    </row>
    <row r="27" spans="1:13" x14ac:dyDescent="0.3">
      <c r="A27" s="10" t="s">
        <v>195</v>
      </c>
      <c r="B27" s="8" t="s">
        <v>41</v>
      </c>
      <c r="C27" s="9">
        <v>43182</v>
      </c>
      <c r="D27" s="10" t="s">
        <v>202</v>
      </c>
      <c r="E27" s="9">
        <v>43151</v>
      </c>
      <c r="F27" s="10" t="s">
        <v>203</v>
      </c>
      <c r="G27" s="11"/>
      <c r="H27" s="11"/>
      <c r="I27" s="11">
        <v>141</v>
      </c>
      <c r="J27" s="11"/>
      <c r="K27" s="11"/>
      <c r="L27" s="11"/>
      <c r="M27" s="11">
        <f t="shared" ref="M27" si="6">SUM(G27:L27)</f>
        <v>141</v>
      </c>
    </row>
    <row r="28" spans="1:13" x14ac:dyDescent="0.3">
      <c r="A28" s="12" t="s">
        <v>194</v>
      </c>
      <c r="B28" s="13" t="s">
        <v>41</v>
      </c>
      <c r="C28" s="14"/>
      <c r="D28" s="15"/>
      <c r="E28" s="16"/>
      <c r="F28" s="13"/>
      <c r="G28" s="17">
        <f t="shared" ref="G28:L28" si="7">SUBTOTAL(9,G27:G27)</f>
        <v>0</v>
      </c>
      <c r="H28" s="17">
        <f t="shared" si="7"/>
        <v>0</v>
      </c>
      <c r="I28" s="17">
        <f t="shared" si="7"/>
        <v>141</v>
      </c>
      <c r="J28" s="17">
        <f t="shared" si="7"/>
        <v>0</v>
      </c>
      <c r="K28" s="17">
        <f t="shared" si="7"/>
        <v>0</v>
      </c>
      <c r="L28" s="17">
        <f t="shared" si="7"/>
        <v>0</v>
      </c>
      <c r="M28" s="17">
        <f>SUBTOTAL(9,M27:M27)</f>
        <v>141</v>
      </c>
    </row>
    <row r="29" spans="1:13" x14ac:dyDescent="0.3">
      <c r="A29" s="10" t="s">
        <v>42</v>
      </c>
      <c r="B29" s="8" t="s">
        <v>41</v>
      </c>
      <c r="C29" s="9">
        <v>43153</v>
      </c>
      <c r="D29" s="25" t="s">
        <v>128</v>
      </c>
      <c r="E29" s="9">
        <v>43439</v>
      </c>
      <c r="F29" s="25" t="s">
        <v>108</v>
      </c>
      <c r="G29" s="11"/>
      <c r="H29" s="11"/>
      <c r="I29" s="11">
        <v>-25.6</v>
      </c>
      <c r="J29" s="11"/>
      <c r="K29" s="11"/>
      <c r="L29" s="11"/>
      <c r="M29" s="11">
        <f>SUM(G29:L29)</f>
        <v>-25.6</v>
      </c>
    </row>
    <row r="30" spans="1:13" x14ac:dyDescent="0.3">
      <c r="A30" s="12" t="s">
        <v>50</v>
      </c>
      <c r="B30" s="13"/>
      <c r="C30" s="16"/>
      <c r="D30" s="15"/>
      <c r="E30" s="16"/>
      <c r="F30" s="13"/>
      <c r="G30" s="17">
        <f t="shared" ref="G30:L30" si="8">SUBTOTAL(9,G29:G29)</f>
        <v>0</v>
      </c>
      <c r="H30" s="17">
        <f t="shared" si="8"/>
        <v>0</v>
      </c>
      <c r="I30" s="17">
        <f t="shared" si="8"/>
        <v>-25.6</v>
      </c>
      <c r="J30" s="17">
        <f t="shared" si="8"/>
        <v>0</v>
      </c>
      <c r="K30" s="17">
        <f t="shared" si="8"/>
        <v>0</v>
      </c>
      <c r="L30" s="17">
        <f t="shared" si="8"/>
        <v>0</v>
      </c>
      <c r="M30" s="17">
        <f>SUBTOTAL(9,M29:M29)</f>
        <v>-25.6</v>
      </c>
    </row>
    <row r="31" spans="1:13" x14ac:dyDescent="0.3">
      <c r="A31" s="8" t="s">
        <v>51</v>
      </c>
      <c r="B31" s="8" t="s">
        <v>41</v>
      </c>
      <c r="C31" s="9">
        <v>43153</v>
      </c>
      <c r="D31" s="25" t="s">
        <v>128</v>
      </c>
      <c r="E31" s="9">
        <v>43074</v>
      </c>
      <c r="F31" s="24" t="s">
        <v>54</v>
      </c>
      <c r="G31" s="11"/>
      <c r="H31" s="11"/>
      <c r="I31" s="11">
        <v>-48.3</v>
      </c>
      <c r="J31" s="11"/>
      <c r="K31" s="11"/>
      <c r="L31" s="11"/>
      <c r="M31" s="11">
        <f>SUM(G31:L31)</f>
        <v>-48.3</v>
      </c>
    </row>
    <row r="32" spans="1:13" x14ac:dyDescent="0.3">
      <c r="A32" s="10" t="s">
        <v>51</v>
      </c>
      <c r="B32" s="8" t="s">
        <v>41</v>
      </c>
      <c r="C32" s="9" t="s">
        <v>197</v>
      </c>
      <c r="D32" s="25" t="s">
        <v>186</v>
      </c>
      <c r="E32" s="8">
        <v>43173</v>
      </c>
      <c r="F32" s="24" t="s">
        <v>54</v>
      </c>
      <c r="G32" s="11"/>
      <c r="H32" s="11"/>
      <c r="I32" s="11">
        <f>24.6+24.6</f>
        <v>49.2</v>
      </c>
      <c r="J32" s="11"/>
      <c r="K32" s="11">
        <f>103.85</f>
        <v>103.85</v>
      </c>
      <c r="L32" s="11"/>
      <c r="M32" s="11">
        <f t="shared" ref="M32:M39" si="9">SUM(G32:L32)</f>
        <v>153.05000000000001</v>
      </c>
    </row>
    <row r="33" spans="1:17" x14ac:dyDescent="0.3">
      <c r="A33" s="10" t="s">
        <v>51</v>
      </c>
      <c r="B33" s="8" t="s">
        <v>41</v>
      </c>
      <c r="C33" s="9">
        <v>43182</v>
      </c>
      <c r="D33" s="25" t="s">
        <v>174</v>
      </c>
      <c r="E33" s="8">
        <v>43215</v>
      </c>
      <c r="F33" s="24" t="s">
        <v>54</v>
      </c>
      <c r="G33" s="11"/>
      <c r="H33" s="11"/>
      <c r="I33" s="11">
        <f>56.2+56.2</f>
        <v>112.4</v>
      </c>
      <c r="J33" s="11"/>
      <c r="K33" s="11"/>
      <c r="L33" s="11"/>
      <c r="M33" s="11">
        <f t="shared" si="9"/>
        <v>112.4</v>
      </c>
    </row>
    <row r="34" spans="1:17" x14ac:dyDescent="0.3">
      <c r="A34" s="10" t="s">
        <v>51</v>
      </c>
      <c r="B34" s="8" t="s">
        <v>41</v>
      </c>
      <c r="C34" s="9">
        <v>43182</v>
      </c>
      <c r="D34" s="25" t="s">
        <v>174</v>
      </c>
      <c r="E34" s="8">
        <v>43181</v>
      </c>
      <c r="F34" s="24" t="s">
        <v>54</v>
      </c>
      <c r="G34" s="11"/>
      <c r="H34" s="11"/>
      <c r="I34" s="11">
        <v>56.2</v>
      </c>
      <c r="J34" s="11"/>
      <c r="K34" s="11"/>
      <c r="L34" s="11"/>
      <c r="M34" s="11">
        <f t="shared" si="9"/>
        <v>56.2</v>
      </c>
    </row>
    <row r="35" spans="1:17" x14ac:dyDescent="0.3">
      <c r="A35" s="10" t="s">
        <v>51</v>
      </c>
      <c r="B35" s="8" t="s">
        <v>41</v>
      </c>
      <c r="C35" s="9">
        <v>43182</v>
      </c>
      <c r="D35" s="25" t="s">
        <v>105</v>
      </c>
      <c r="E35" s="8">
        <v>43229</v>
      </c>
      <c r="F35" s="24" t="s">
        <v>54</v>
      </c>
      <c r="G35" s="11"/>
      <c r="H35" s="11"/>
      <c r="I35" s="11">
        <v>56.2</v>
      </c>
      <c r="J35" s="11"/>
      <c r="K35" s="11"/>
      <c r="L35" s="11"/>
      <c r="M35" s="11">
        <f t="shared" si="9"/>
        <v>56.2</v>
      </c>
    </row>
    <row r="36" spans="1:17" x14ac:dyDescent="0.3">
      <c r="A36" s="10" t="s">
        <v>51</v>
      </c>
      <c r="B36" s="8" t="s">
        <v>41</v>
      </c>
      <c r="C36" s="9">
        <v>43115</v>
      </c>
      <c r="D36" s="25" t="s">
        <v>174</v>
      </c>
      <c r="E36" s="8">
        <v>43153</v>
      </c>
      <c r="F36" s="24" t="s">
        <v>54</v>
      </c>
      <c r="G36" s="11"/>
      <c r="H36" s="11"/>
      <c r="I36" s="11">
        <v>64.3</v>
      </c>
      <c r="J36" s="11"/>
      <c r="K36" s="11"/>
      <c r="L36" s="11"/>
      <c r="M36" s="11">
        <f t="shared" si="9"/>
        <v>64.3</v>
      </c>
    </row>
    <row r="37" spans="1:17" x14ac:dyDescent="0.3">
      <c r="A37" s="10" t="s">
        <v>51</v>
      </c>
      <c r="B37" s="8" t="s">
        <v>41</v>
      </c>
      <c r="C37" s="9">
        <v>43115</v>
      </c>
      <c r="D37" s="25" t="s">
        <v>128</v>
      </c>
      <c r="E37" s="8">
        <v>43165</v>
      </c>
      <c r="F37" s="24" t="s">
        <v>54</v>
      </c>
      <c r="G37" s="11"/>
      <c r="H37" s="11"/>
      <c r="I37" s="11">
        <v>64.3</v>
      </c>
      <c r="J37" s="11"/>
      <c r="K37" s="11"/>
      <c r="L37" s="11"/>
      <c r="M37" s="11">
        <f t="shared" si="9"/>
        <v>64.3</v>
      </c>
    </row>
    <row r="38" spans="1:17" x14ac:dyDescent="0.3">
      <c r="A38" s="10" t="s">
        <v>51</v>
      </c>
      <c r="B38" s="8" t="s">
        <v>41</v>
      </c>
      <c r="C38" s="9">
        <v>43115</v>
      </c>
      <c r="D38" s="25" t="s">
        <v>204</v>
      </c>
      <c r="E38" s="8">
        <v>43131</v>
      </c>
      <c r="F38" s="24" t="s">
        <v>54</v>
      </c>
      <c r="G38" s="11"/>
      <c r="H38" s="11"/>
      <c r="I38" s="11">
        <v>64.3</v>
      </c>
      <c r="J38" s="11"/>
      <c r="K38" s="11"/>
      <c r="L38" s="11"/>
      <c r="M38" s="11">
        <f t="shared" si="9"/>
        <v>64.3</v>
      </c>
    </row>
    <row r="39" spans="1:17" x14ac:dyDescent="0.3">
      <c r="A39" s="10" t="s">
        <v>51</v>
      </c>
      <c r="B39" s="8" t="s">
        <v>41</v>
      </c>
      <c r="C39" s="9">
        <v>43115</v>
      </c>
      <c r="D39" s="25" t="s">
        <v>105</v>
      </c>
      <c r="E39" s="8">
        <v>43125</v>
      </c>
      <c r="F39" s="24" t="s">
        <v>54</v>
      </c>
      <c r="G39" s="11"/>
      <c r="H39" s="11"/>
      <c r="I39" s="11">
        <f>39+39</f>
        <v>78</v>
      </c>
      <c r="J39" s="11"/>
      <c r="K39" s="11"/>
      <c r="L39" s="11"/>
      <c r="M39" s="11">
        <f t="shared" si="9"/>
        <v>78</v>
      </c>
    </row>
    <row r="40" spans="1:17" x14ac:dyDescent="0.3">
      <c r="A40" s="12" t="s">
        <v>60</v>
      </c>
      <c r="B40" s="13"/>
      <c r="C40" s="16"/>
      <c r="D40" s="15"/>
      <c r="E40" s="16"/>
      <c r="F40" s="13"/>
      <c r="G40" s="17">
        <f t="shared" ref="G40:L40" si="10">SUBTOTAL(9,G31:G39)</f>
        <v>0</v>
      </c>
      <c r="H40" s="17">
        <f t="shared" si="10"/>
        <v>0</v>
      </c>
      <c r="I40" s="17">
        <f t="shared" si="10"/>
        <v>496.6</v>
      </c>
      <c r="J40" s="17">
        <f t="shared" si="10"/>
        <v>0</v>
      </c>
      <c r="K40" s="17">
        <f t="shared" si="10"/>
        <v>103.85</v>
      </c>
      <c r="L40" s="17">
        <f t="shared" si="10"/>
        <v>0</v>
      </c>
      <c r="M40" s="17">
        <f>SUBTOTAL(9,M31:M39)</f>
        <v>600.45000000000005</v>
      </c>
    </row>
    <row r="41" spans="1:17" x14ac:dyDescent="0.3">
      <c r="A41" s="10" t="s">
        <v>61</v>
      </c>
      <c r="B41" s="10" t="s">
        <v>41</v>
      </c>
      <c r="C41" s="26">
        <v>43136</v>
      </c>
      <c r="D41" s="25" t="s">
        <v>185</v>
      </c>
      <c r="E41" s="9">
        <v>43124</v>
      </c>
      <c r="F41" s="25" t="s">
        <v>114</v>
      </c>
      <c r="G41" s="11"/>
      <c r="H41" s="11"/>
      <c r="I41" s="11">
        <v>71.3</v>
      </c>
      <c r="J41" s="11">
        <v>29.2</v>
      </c>
      <c r="K41" s="11"/>
      <c r="L41" s="11"/>
      <c r="M41" s="11">
        <f>SUM(G41:L41)</f>
        <v>100.5</v>
      </c>
      <c r="Q41" s="27"/>
    </row>
    <row r="42" spans="1:17" x14ac:dyDescent="0.3">
      <c r="A42" s="10" t="s">
        <v>61</v>
      </c>
      <c r="B42" s="10"/>
      <c r="C42" s="26">
        <v>43140</v>
      </c>
      <c r="D42" s="25" t="s">
        <v>63</v>
      </c>
      <c r="E42" s="9">
        <v>43136</v>
      </c>
      <c r="F42" s="25" t="s">
        <v>114</v>
      </c>
      <c r="G42" s="11"/>
      <c r="H42" s="11"/>
      <c r="I42" s="11">
        <v>71.3</v>
      </c>
      <c r="J42" s="11">
        <v>29.2</v>
      </c>
      <c r="K42" s="11"/>
      <c r="L42" s="11"/>
      <c r="M42" s="11">
        <f t="shared" ref="M42:M43" si="11">SUM(G42:L42)</f>
        <v>100.5</v>
      </c>
      <c r="Q42" s="27"/>
    </row>
    <row r="43" spans="1:17" x14ac:dyDescent="0.3">
      <c r="A43" s="10" t="s">
        <v>61</v>
      </c>
      <c r="B43" s="10"/>
      <c r="C43" s="26">
        <v>43172</v>
      </c>
      <c r="D43" s="25" t="s">
        <v>76</v>
      </c>
      <c r="E43" s="9">
        <v>43167</v>
      </c>
      <c r="F43" s="25" t="s">
        <v>114</v>
      </c>
      <c r="G43" s="11"/>
      <c r="H43" s="11"/>
      <c r="I43" s="11">
        <v>71.3</v>
      </c>
      <c r="J43" s="11">
        <v>27.4</v>
      </c>
      <c r="K43" s="11"/>
      <c r="L43" s="11"/>
      <c r="M43" s="11">
        <f t="shared" si="11"/>
        <v>98.699999999999989</v>
      </c>
      <c r="Q43" s="27"/>
    </row>
    <row r="44" spans="1:17" x14ac:dyDescent="0.3">
      <c r="A44" s="12" t="s">
        <v>64</v>
      </c>
      <c r="B44" s="13"/>
      <c r="C44" s="14"/>
      <c r="D44" s="15"/>
      <c r="E44" s="16"/>
      <c r="F44" s="13"/>
      <c r="G44" s="17">
        <f t="shared" ref="G44:L44" si="12">SUBTOTAL(9,G41:G43)</f>
        <v>0</v>
      </c>
      <c r="H44" s="17">
        <f t="shared" si="12"/>
        <v>0</v>
      </c>
      <c r="I44" s="17">
        <f t="shared" si="12"/>
        <v>213.89999999999998</v>
      </c>
      <c r="J44" s="17">
        <f t="shared" si="12"/>
        <v>85.8</v>
      </c>
      <c r="K44" s="17">
        <f t="shared" si="12"/>
        <v>0</v>
      </c>
      <c r="L44" s="17">
        <f t="shared" si="12"/>
        <v>0</v>
      </c>
      <c r="M44" s="17">
        <f>SUBTOTAL(9,M41:M43)</f>
        <v>299.7</v>
      </c>
      <c r="Q44" s="27"/>
    </row>
    <row r="45" spans="1:17" x14ac:dyDescent="0.3">
      <c r="A45" s="18" t="s">
        <v>65</v>
      </c>
      <c r="B45" s="19" t="s">
        <v>41</v>
      </c>
      <c r="C45" s="20"/>
      <c r="D45" s="21"/>
      <c r="E45" s="28"/>
      <c r="F45" s="19"/>
      <c r="G45" s="23"/>
      <c r="H45" s="23"/>
      <c r="I45" s="23"/>
      <c r="J45" s="23"/>
      <c r="K45" s="23"/>
      <c r="L45" s="23"/>
      <c r="M45" s="23">
        <v>0</v>
      </c>
    </row>
    <row r="46" spans="1:17" x14ac:dyDescent="0.3">
      <c r="A46" s="10" t="s">
        <v>66</v>
      </c>
      <c r="B46" s="10" t="s">
        <v>41</v>
      </c>
      <c r="C46" s="26">
        <v>43140</v>
      </c>
      <c r="D46" s="25" t="s">
        <v>185</v>
      </c>
      <c r="E46" s="9">
        <v>43054</v>
      </c>
      <c r="F46" s="11"/>
      <c r="G46" s="11"/>
      <c r="H46" s="11"/>
      <c r="I46" s="11"/>
      <c r="J46" s="11">
        <v>16.5</v>
      </c>
      <c r="K46" s="11"/>
      <c r="L46" s="11"/>
      <c r="M46" s="11">
        <f>SUM(G46:L46)</f>
        <v>16.5</v>
      </c>
    </row>
    <row r="47" spans="1:17" x14ac:dyDescent="0.3">
      <c r="A47" s="10" t="s">
        <v>66</v>
      </c>
      <c r="B47" s="10" t="s">
        <v>41</v>
      </c>
      <c r="C47" s="9">
        <v>43151</v>
      </c>
      <c r="D47" s="25" t="s">
        <v>174</v>
      </c>
      <c r="E47" s="9">
        <v>43083</v>
      </c>
      <c r="F47" s="11" t="s">
        <v>69</v>
      </c>
      <c r="G47" s="11"/>
      <c r="H47" s="11"/>
      <c r="I47" s="11"/>
      <c r="J47" s="11"/>
      <c r="K47" s="11"/>
      <c r="L47" s="11">
        <v>100.45</v>
      </c>
      <c r="M47" s="11">
        <f t="shared" ref="M47:M49" si="13">SUM(G47:L47)</f>
        <v>100.45</v>
      </c>
    </row>
    <row r="48" spans="1:17" x14ac:dyDescent="0.3">
      <c r="A48" s="10" t="s">
        <v>66</v>
      </c>
      <c r="B48" s="10" t="s">
        <v>41</v>
      </c>
      <c r="C48" s="9" t="s">
        <v>198</v>
      </c>
      <c r="D48" s="26" t="s">
        <v>185</v>
      </c>
      <c r="E48" s="9">
        <v>43124</v>
      </c>
      <c r="F48" s="11" t="s">
        <v>115</v>
      </c>
      <c r="G48" s="11"/>
      <c r="H48" s="11"/>
      <c r="I48" s="11">
        <f>168.5+363.7</f>
        <v>532.20000000000005</v>
      </c>
      <c r="J48" s="11">
        <v>15.5</v>
      </c>
      <c r="K48" s="11"/>
      <c r="L48" s="11"/>
      <c r="M48" s="11">
        <f t="shared" si="13"/>
        <v>547.70000000000005</v>
      </c>
    </row>
    <row r="49" spans="1:13" x14ac:dyDescent="0.3">
      <c r="A49" s="10" t="s">
        <v>66</v>
      </c>
      <c r="B49" s="10" t="s">
        <v>41</v>
      </c>
      <c r="C49" s="9">
        <v>43182</v>
      </c>
      <c r="D49" s="26" t="s">
        <v>186</v>
      </c>
      <c r="E49" s="9">
        <v>43173</v>
      </c>
      <c r="F49" s="11" t="s">
        <v>115</v>
      </c>
      <c r="G49" s="11"/>
      <c r="H49" s="11"/>
      <c r="I49" s="11">
        <v>103</v>
      </c>
      <c r="J49" s="11"/>
      <c r="K49" s="11">
        <v>103.85</v>
      </c>
      <c r="L49" s="11"/>
      <c r="M49" s="11">
        <f t="shared" si="13"/>
        <v>206.85</v>
      </c>
    </row>
    <row r="50" spans="1:13" x14ac:dyDescent="0.3">
      <c r="A50" s="12" t="s">
        <v>71</v>
      </c>
      <c r="B50" s="13"/>
      <c r="C50" s="14"/>
      <c r="D50" s="15"/>
      <c r="E50" s="16"/>
      <c r="F50" s="13"/>
      <c r="G50" s="17">
        <f t="shared" ref="G50:L50" si="14">SUBTOTAL(9,G46:G49)</f>
        <v>0</v>
      </c>
      <c r="H50" s="17">
        <f t="shared" si="14"/>
        <v>0</v>
      </c>
      <c r="I50" s="17">
        <f t="shared" si="14"/>
        <v>635.20000000000005</v>
      </c>
      <c r="J50" s="17">
        <f t="shared" si="14"/>
        <v>32</v>
      </c>
      <c r="K50" s="17">
        <f t="shared" si="14"/>
        <v>103.85</v>
      </c>
      <c r="L50" s="17">
        <f t="shared" si="14"/>
        <v>100.45</v>
      </c>
      <c r="M50" s="17">
        <f>SUBTOTAL(9,M46:M49)</f>
        <v>871.50000000000011</v>
      </c>
    </row>
    <row r="51" spans="1:13" x14ac:dyDescent="0.3">
      <c r="A51" s="10" t="s">
        <v>72</v>
      </c>
      <c r="B51" s="10" t="s">
        <v>41</v>
      </c>
      <c r="C51" s="9">
        <v>43152</v>
      </c>
      <c r="D51" s="25" t="s">
        <v>185</v>
      </c>
      <c r="E51" s="9">
        <v>43124</v>
      </c>
      <c r="F51" s="11" t="s">
        <v>75</v>
      </c>
      <c r="G51" s="11"/>
      <c r="H51" s="11"/>
      <c r="I51" s="11">
        <v>88.2</v>
      </c>
      <c r="J51" s="11"/>
      <c r="K51" s="11"/>
      <c r="L51" s="11"/>
      <c r="M51" s="11">
        <f t="shared" ref="M51:M53" si="15">SUM(G51:L51)</f>
        <v>88.2</v>
      </c>
    </row>
    <row r="52" spans="1:13" x14ac:dyDescent="0.3">
      <c r="A52" s="10" t="s">
        <v>72</v>
      </c>
      <c r="B52" s="10" t="s">
        <v>41</v>
      </c>
      <c r="C52" s="9">
        <v>43158</v>
      </c>
      <c r="D52" s="26" t="s">
        <v>76</v>
      </c>
      <c r="E52" s="9">
        <v>43111</v>
      </c>
      <c r="F52" s="11" t="s">
        <v>75</v>
      </c>
      <c r="G52" s="11"/>
      <c r="H52" s="11"/>
      <c r="I52" s="11">
        <v>88.2</v>
      </c>
      <c r="J52" s="11"/>
      <c r="K52" s="11"/>
      <c r="L52" s="11"/>
      <c r="M52" s="11">
        <f t="shared" si="15"/>
        <v>88.2</v>
      </c>
    </row>
    <row r="53" spans="1:13" x14ac:dyDescent="0.3">
      <c r="A53" s="10" t="s">
        <v>72</v>
      </c>
      <c r="B53" s="10" t="s">
        <v>41</v>
      </c>
      <c r="C53" s="9">
        <v>43153</v>
      </c>
      <c r="D53" s="26" t="s">
        <v>186</v>
      </c>
      <c r="E53" s="9">
        <v>43173</v>
      </c>
      <c r="F53" s="11" t="s">
        <v>75</v>
      </c>
      <c r="G53" s="11"/>
      <c r="H53" s="11"/>
      <c r="I53" s="11"/>
      <c r="J53" s="11"/>
      <c r="K53" s="11">
        <v>103.85</v>
      </c>
      <c r="L53" s="11"/>
      <c r="M53" s="11">
        <f t="shared" si="15"/>
        <v>103.85</v>
      </c>
    </row>
    <row r="54" spans="1:13" x14ac:dyDescent="0.3">
      <c r="A54" s="12" t="s">
        <v>78</v>
      </c>
      <c r="B54" s="13" t="s">
        <v>41</v>
      </c>
      <c r="C54" s="14"/>
      <c r="D54" s="15"/>
      <c r="E54" s="16"/>
      <c r="F54" s="13"/>
      <c r="G54" s="17">
        <f t="shared" ref="G54:L54" si="16">SUBTOTAL(9,G51:G53)</f>
        <v>0</v>
      </c>
      <c r="H54" s="17">
        <f t="shared" si="16"/>
        <v>0</v>
      </c>
      <c r="I54" s="17">
        <f t="shared" si="16"/>
        <v>176.4</v>
      </c>
      <c r="J54" s="17">
        <f t="shared" si="16"/>
        <v>0</v>
      </c>
      <c r="K54" s="17">
        <f t="shared" si="16"/>
        <v>103.85</v>
      </c>
      <c r="L54" s="17">
        <f t="shared" si="16"/>
        <v>0</v>
      </c>
      <c r="M54" s="17">
        <f>SUBTOTAL(9,M51:M53)</f>
        <v>280.25</v>
      </c>
    </row>
    <row r="55" spans="1:13" x14ac:dyDescent="0.3">
      <c r="A55" s="10" t="s">
        <v>136</v>
      </c>
      <c r="B55" s="10" t="s">
        <v>41</v>
      </c>
      <c r="C55" s="9">
        <v>43186</v>
      </c>
      <c r="D55" s="26" t="s">
        <v>186</v>
      </c>
      <c r="E55" s="9" t="s">
        <v>187</v>
      </c>
      <c r="F55" s="11" t="s">
        <v>188</v>
      </c>
      <c r="G55" s="11"/>
      <c r="H55" s="11"/>
      <c r="I55" s="11">
        <v>180.5</v>
      </c>
      <c r="J55" s="11"/>
      <c r="K55" s="11"/>
      <c r="L55" s="11"/>
      <c r="M55" s="11">
        <f>SUM(G55:L55)</f>
        <v>180.5</v>
      </c>
    </row>
    <row r="56" spans="1:13" x14ac:dyDescent="0.3">
      <c r="A56" s="10" t="s">
        <v>136</v>
      </c>
      <c r="B56" s="10" t="s">
        <v>41</v>
      </c>
      <c r="C56" s="9">
        <v>43186</v>
      </c>
      <c r="D56" s="26" t="s">
        <v>105</v>
      </c>
      <c r="E56" s="9">
        <v>43124</v>
      </c>
      <c r="F56" s="11" t="s">
        <v>188</v>
      </c>
      <c r="G56" s="11"/>
      <c r="H56" s="11"/>
      <c r="I56" s="11">
        <v>172.25</v>
      </c>
      <c r="J56" s="11"/>
      <c r="K56" s="11"/>
      <c r="L56" s="11"/>
      <c r="M56" s="11">
        <f t="shared" ref="M56" si="17">SUM(G56:L56)</f>
        <v>172.25</v>
      </c>
    </row>
    <row r="57" spans="1:13" x14ac:dyDescent="0.3">
      <c r="A57" s="12" t="s">
        <v>164</v>
      </c>
      <c r="B57" s="13"/>
      <c r="C57" s="14"/>
      <c r="D57" s="15"/>
      <c r="E57" s="16"/>
      <c r="F57" s="13"/>
      <c r="G57" s="17">
        <f t="shared" ref="G57:L57" si="18">SUBTOTAL(9,G55:G56)</f>
        <v>0</v>
      </c>
      <c r="H57" s="17">
        <f t="shared" si="18"/>
        <v>0</v>
      </c>
      <c r="I57" s="17">
        <f t="shared" si="18"/>
        <v>352.75</v>
      </c>
      <c r="J57" s="17">
        <f t="shared" si="18"/>
        <v>0</v>
      </c>
      <c r="K57" s="17">
        <f t="shared" si="18"/>
        <v>0</v>
      </c>
      <c r="L57" s="17">
        <f t="shared" si="18"/>
        <v>0</v>
      </c>
      <c r="M57" s="17">
        <f>SUBTOTAL(9,M55:M56)</f>
        <v>352.75</v>
      </c>
    </row>
    <row r="58" spans="1:13" x14ac:dyDescent="0.3">
      <c r="A58" s="10" t="s">
        <v>117</v>
      </c>
      <c r="B58" s="10" t="s">
        <v>41</v>
      </c>
      <c r="C58" s="26">
        <v>43180</v>
      </c>
      <c r="D58" s="26" t="s">
        <v>189</v>
      </c>
      <c r="E58" s="9">
        <v>43133</v>
      </c>
      <c r="F58" s="11" t="s">
        <v>141</v>
      </c>
      <c r="G58" s="11"/>
      <c r="H58" s="11"/>
      <c r="I58" s="11">
        <v>75.7</v>
      </c>
      <c r="J58" s="11">
        <v>5.7</v>
      </c>
      <c r="K58" s="11"/>
      <c r="L58" s="11"/>
      <c r="M58" s="11">
        <f>SUM(G58:L58)</f>
        <v>81.400000000000006</v>
      </c>
    </row>
    <row r="59" spans="1:13" x14ac:dyDescent="0.3">
      <c r="A59" s="10" t="s">
        <v>117</v>
      </c>
      <c r="B59" s="10" t="s">
        <v>41</v>
      </c>
      <c r="C59" s="26">
        <v>43180</v>
      </c>
      <c r="D59" s="26" t="s">
        <v>76</v>
      </c>
      <c r="E59" s="9">
        <v>43167</v>
      </c>
      <c r="F59" s="11" t="s">
        <v>69</v>
      </c>
      <c r="G59" s="11"/>
      <c r="H59" s="11"/>
      <c r="I59" s="11"/>
      <c r="J59" s="11"/>
      <c r="K59" s="11"/>
      <c r="L59" s="11">
        <v>19.739999999999998</v>
      </c>
      <c r="M59" s="11">
        <f t="shared" ref="M59:M65" si="19">SUM(G59:L59)</f>
        <v>19.739999999999998</v>
      </c>
    </row>
    <row r="60" spans="1:13" x14ac:dyDescent="0.3">
      <c r="A60" s="10" t="s">
        <v>117</v>
      </c>
      <c r="B60" s="10" t="s">
        <v>41</v>
      </c>
      <c r="C60" s="26">
        <v>43180</v>
      </c>
      <c r="D60" s="26" t="s">
        <v>76</v>
      </c>
      <c r="E60" s="9">
        <v>43111</v>
      </c>
      <c r="F60" s="11" t="s">
        <v>69</v>
      </c>
      <c r="G60" s="11"/>
      <c r="H60" s="11"/>
      <c r="I60" s="11"/>
      <c r="J60" s="11"/>
      <c r="K60" s="11"/>
      <c r="L60" s="11">
        <v>27.56</v>
      </c>
      <c r="M60" s="11">
        <f t="shared" si="19"/>
        <v>27.56</v>
      </c>
    </row>
    <row r="61" spans="1:13" x14ac:dyDescent="0.3">
      <c r="A61" s="10" t="s">
        <v>117</v>
      </c>
      <c r="B61" s="10" t="s">
        <v>41</v>
      </c>
      <c r="C61" s="26">
        <v>43180</v>
      </c>
      <c r="D61" s="26" t="s">
        <v>190</v>
      </c>
      <c r="E61" s="9">
        <v>43144</v>
      </c>
      <c r="F61" s="11" t="s">
        <v>141</v>
      </c>
      <c r="G61" s="11"/>
      <c r="H61" s="11"/>
      <c r="I61" s="11">
        <v>75.7</v>
      </c>
      <c r="J61" s="11">
        <f>5.7+8</f>
        <v>13.7</v>
      </c>
      <c r="K61" s="11">
        <v>0</v>
      </c>
      <c r="L61" s="11"/>
      <c r="M61" s="11">
        <f t="shared" si="19"/>
        <v>89.4</v>
      </c>
    </row>
    <row r="62" spans="1:13" x14ac:dyDescent="0.3">
      <c r="A62" s="10" t="s">
        <v>117</v>
      </c>
      <c r="B62" s="10" t="s">
        <v>41</v>
      </c>
      <c r="C62" s="26">
        <v>43180</v>
      </c>
      <c r="D62" s="26" t="s">
        <v>174</v>
      </c>
      <c r="E62" s="9">
        <v>43448</v>
      </c>
      <c r="F62" s="11" t="s">
        <v>69</v>
      </c>
      <c r="G62" s="11"/>
      <c r="H62" s="11"/>
      <c r="I62" s="11"/>
      <c r="J62" s="11"/>
      <c r="K62" s="11"/>
      <c r="L62" s="11">
        <v>34.74</v>
      </c>
      <c r="M62" s="11">
        <f t="shared" si="19"/>
        <v>34.74</v>
      </c>
    </row>
    <row r="63" spans="1:13" x14ac:dyDescent="0.3">
      <c r="A63" s="10" t="s">
        <v>117</v>
      </c>
      <c r="B63" s="10" t="s">
        <v>41</v>
      </c>
      <c r="C63" s="26">
        <v>43180</v>
      </c>
      <c r="D63" s="26" t="s">
        <v>174</v>
      </c>
      <c r="E63" s="9">
        <v>43153</v>
      </c>
      <c r="F63" s="11" t="s">
        <v>69</v>
      </c>
      <c r="G63" s="11"/>
      <c r="H63" s="11"/>
      <c r="I63" s="11"/>
      <c r="J63" s="11"/>
      <c r="K63" s="11"/>
      <c r="L63" s="11">
        <v>22.38</v>
      </c>
      <c r="M63" s="11">
        <f t="shared" si="19"/>
        <v>22.38</v>
      </c>
    </row>
    <row r="64" spans="1:13" x14ac:dyDescent="0.3">
      <c r="A64" s="10" t="s">
        <v>117</v>
      </c>
      <c r="B64" s="10" t="s">
        <v>41</v>
      </c>
      <c r="C64" s="26">
        <v>43180</v>
      </c>
      <c r="D64" s="26" t="s">
        <v>174</v>
      </c>
      <c r="E64" s="9">
        <v>43125</v>
      </c>
      <c r="F64" s="11" t="s">
        <v>69</v>
      </c>
      <c r="G64" s="11"/>
      <c r="H64" s="11"/>
      <c r="I64" s="11"/>
      <c r="J64" s="11"/>
      <c r="K64" s="11"/>
      <c r="L64" s="11">
        <v>33.299999999999997</v>
      </c>
      <c r="M64" s="11">
        <f t="shared" si="19"/>
        <v>33.299999999999997</v>
      </c>
    </row>
    <row r="65" spans="1:18" x14ac:dyDescent="0.3">
      <c r="A65" s="10" t="s">
        <v>117</v>
      </c>
      <c r="B65" s="10" t="s">
        <v>41</v>
      </c>
      <c r="C65" s="9" t="s">
        <v>200</v>
      </c>
      <c r="D65" s="26" t="s">
        <v>190</v>
      </c>
      <c r="E65" s="9">
        <v>43158</v>
      </c>
      <c r="F65" s="11" t="s">
        <v>191</v>
      </c>
      <c r="G65" s="11"/>
      <c r="H65" s="11"/>
      <c r="I65" s="11">
        <v>103.1</v>
      </c>
      <c r="J65" s="11">
        <v>5.7</v>
      </c>
      <c r="K65" s="11">
        <f>17.52+50.6</f>
        <v>68.12</v>
      </c>
      <c r="L65" s="11"/>
      <c r="M65" s="11">
        <f t="shared" si="19"/>
        <v>176.92000000000002</v>
      </c>
    </row>
    <row r="66" spans="1:18" x14ac:dyDescent="0.3">
      <c r="A66" s="12" t="s">
        <v>120</v>
      </c>
      <c r="B66" s="13"/>
      <c r="C66" s="14"/>
      <c r="D66" s="15"/>
      <c r="E66" s="16"/>
      <c r="F66" s="13"/>
      <c r="G66" s="17">
        <f t="shared" ref="G66:L66" si="20">SUBTOTAL(9,G58:G65)</f>
        <v>0</v>
      </c>
      <c r="H66" s="17">
        <f t="shared" si="20"/>
        <v>0</v>
      </c>
      <c r="I66" s="17">
        <f t="shared" si="20"/>
        <v>254.5</v>
      </c>
      <c r="J66" s="17">
        <f t="shared" si="20"/>
        <v>25.099999999999998</v>
      </c>
      <c r="K66" s="17">
        <f t="shared" si="20"/>
        <v>68.12</v>
      </c>
      <c r="L66" s="17">
        <f t="shared" si="20"/>
        <v>137.71999999999997</v>
      </c>
      <c r="M66" s="17">
        <f>SUBTOTAL(9,M58:M65)</f>
        <v>485.44000000000005</v>
      </c>
    </row>
    <row r="67" spans="1:18" x14ac:dyDescent="0.3">
      <c r="A67" s="10" t="s">
        <v>81</v>
      </c>
      <c r="B67" s="10" t="s">
        <v>41</v>
      </c>
      <c r="C67" s="26">
        <v>43136</v>
      </c>
      <c r="D67" s="26" t="s">
        <v>105</v>
      </c>
      <c r="E67" s="9">
        <v>43054</v>
      </c>
      <c r="F67" s="11" t="s">
        <v>83</v>
      </c>
      <c r="G67" s="11"/>
      <c r="H67" s="11"/>
      <c r="I67" s="11">
        <v>57.2</v>
      </c>
      <c r="J67" s="11"/>
      <c r="K67" s="11"/>
      <c r="L67" s="11"/>
      <c r="M67" s="11">
        <f t="shared" ref="M67:M69" si="21">SUM(G67:L67)</f>
        <v>57.2</v>
      </c>
    </row>
    <row r="68" spans="1:18" x14ac:dyDescent="0.3">
      <c r="A68" s="10" t="s">
        <v>81</v>
      </c>
      <c r="B68" s="10" t="s">
        <v>41</v>
      </c>
      <c r="C68" s="9">
        <v>43140</v>
      </c>
      <c r="D68" s="26" t="s">
        <v>105</v>
      </c>
      <c r="E68" s="9">
        <v>43124</v>
      </c>
      <c r="F68" s="11" t="s">
        <v>83</v>
      </c>
      <c r="G68" s="11"/>
      <c r="H68" s="11"/>
      <c r="I68" s="11">
        <v>34.299999999999997</v>
      </c>
      <c r="J68" s="11"/>
      <c r="K68" s="11"/>
      <c r="L68" s="11"/>
      <c r="M68" s="11">
        <f t="shared" si="21"/>
        <v>34.299999999999997</v>
      </c>
    </row>
    <row r="69" spans="1:18" x14ac:dyDescent="0.3">
      <c r="A69" s="10" t="s">
        <v>81</v>
      </c>
      <c r="B69" s="10" t="s">
        <v>41</v>
      </c>
      <c r="C69" s="26">
        <v>43151</v>
      </c>
      <c r="D69" s="26" t="s">
        <v>193</v>
      </c>
      <c r="E69" s="9">
        <v>43131</v>
      </c>
      <c r="F69" s="11" t="s">
        <v>83</v>
      </c>
      <c r="G69" s="11"/>
      <c r="H69" s="11"/>
      <c r="I69" s="11">
        <v>22.65</v>
      </c>
      <c r="J69" s="11">
        <v>8</v>
      </c>
      <c r="K69" s="11"/>
      <c r="L69" s="11"/>
      <c r="M69" s="11">
        <f t="shared" si="21"/>
        <v>30.65</v>
      </c>
    </row>
    <row r="70" spans="1:18" x14ac:dyDescent="0.3">
      <c r="A70" s="12" t="s">
        <v>192</v>
      </c>
      <c r="B70" s="13" t="s">
        <v>41</v>
      </c>
      <c r="C70" s="14"/>
      <c r="D70" s="15"/>
      <c r="E70" s="16"/>
      <c r="F70" s="13"/>
      <c r="G70" s="17">
        <f t="shared" ref="G70:L70" si="22">SUBTOTAL(9,G67:G69)</f>
        <v>0</v>
      </c>
      <c r="H70" s="17">
        <f t="shared" si="22"/>
        <v>0</v>
      </c>
      <c r="I70" s="17">
        <f t="shared" si="22"/>
        <v>114.15</v>
      </c>
      <c r="J70" s="17">
        <f t="shared" si="22"/>
        <v>8</v>
      </c>
      <c r="K70" s="17">
        <f t="shared" si="22"/>
        <v>0</v>
      </c>
      <c r="L70" s="17">
        <f t="shared" si="22"/>
        <v>0</v>
      </c>
      <c r="M70" s="17">
        <f>SUBTOTAL(9,M67:M69)</f>
        <v>122.15</v>
      </c>
    </row>
    <row r="71" spans="1:18" ht="17.25" thickBot="1" x14ac:dyDescent="0.35">
      <c r="A71" s="29"/>
      <c r="B71" s="29"/>
      <c r="C71" s="30"/>
      <c r="D71" s="29"/>
      <c r="E71" s="29"/>
      <c r="F71" s="31"/>
      <c r="G71" s="32">
        <f t="shared" ref="G71:M71" si="23">SUBTOTAL(9,G3:G70)</f>
        <v>232.04</v>
      </c>
      <c r="H71" s="32">
        <f t="shared" si="23"/>
        <v>0</v>
      </c>
      <c r="I71" s="32">
        <f t="shared" si="23"/>
        <v>6569.6499999999987</v>
      </c>
      <c r="J71" s="32">
        <f t="shared" si="23"/>
        <v>710.08000000000027</v>
      </c>
      <c r="K71" s="32">
        <f t="shared" si="23"/>
        <v>799.02</v>
      </c>
      <c r="L71" s="32">
        <f t="shared" si="23"/>
        <v>238.17000000000002</v>
      </c>
      <c r="M71" s="32">
        <f t="shared" si="23"/>
        <v>8548.9599999999955</v>
      </c>
    </row>
    <row r="72" spans="1:18" ht="17.25" thickTop="1" x14ac:dyDescent="0.3">
      <c r="A72" s="33"/>
      <c r="B72" s="33"/>
      <c r="C72" s="34"/>
      <c r="D72" s="33"/>
      <c r="E72" s="33"/>
      <c r="F72" s="33"/>
      <c r="G72" s="35"/>
      <c r="H72" s="35"/>
      <c r="I72" s="35"/>
      <c r="J72" s="35"/>
      <c r="K72" s="35"/>
      <c r="L72" s="35"/>
      <c r="M72" s="35"/>
      <c r="O72" s="36"/>
      <c r="R72" s="37"/>
    </row>
    <row r="73" spans="1:18" x14ac:dyDescent="0.3">
      <c r="E73" s="38"/>
      <c r="F73" s="38"/>
      <c r="N73" s="36"/>
      <c r="O73" s="36"/>
    </row>
    <row r="74" spans="1:18" ht="17.25" thickBot="1" x14ac:dyDescent="0.35">
      <c r="A74" s="33"/>
      <c r="B74" s="33"/>
      <c r="C74" s="34"/>
      <c r="D74" s="33"/>
      <c r="E74" s="33"/>
      <c r="F74" s="33"/>
      <c r="G74" s="35"/>
      <c r="H74" s="35"/>
      <c r="I74" s="35"/>
      <c r="J74" s="35"/>
      <c r="K74" s="35"/>
      <c r="L74" s="35"/>
      <c r="M74" s="35"/>
      <c r="O74" s="36"/>
    </row>
    <row r="75" spans="1:18" ht="17.25" thickBot="1" x14ac:dyDescent="0.35">
      <c r="A75" s="33"/>
      <c r="B75" s="33"/>
      <c r="C75" s="33"/>
      <c r="D75" s="33"/>
      <c r="E75" s="33"/>
      <c r="F75" s="39" t="s">
        <v>86</v>
      </c>
      <c r="G75" s="40"/>
      <c r="H75" s="40"/>
      <c r="I75" s="40"/>
      <c r="J75" s="40"/>
      <c r="K75" s="40"/>
      <c r="L75" s="40"/>
      <c r="M75" s="41"/>
    </row>
    <row r="76" spans="1:18" ht="52.5" x14ac:dyDescent="0.3">
      <c r="A76" s="33"/>
      <c r="B76" s="33"/>
      <c r="C76" s="33"/>
      <c r="D76" s="33"/>
      <c r="E76" s="33"/>
      <c r="F76" s="42"/>
      <c r="G76" s="43" t="s">
        <v>7</v>
      </c>
      <c r="H76" s="44" t="s">
        <v>87</v>
      </c>
      <c r="I76" s="44" t="s">
        <v>88</v>
      </c>
      <c r="J76" s="44" t="s">
        <v>89</v>
      </c>
      <c r="K76" s="44" t="s">
        <v>11</v>
      </c>
      <c r="L76" s="44" t="s">
        <v>12</v>
      </c>
      <c r="M76" s="45" t="s">
        <v>90</v>
      </c>
    </row>
    <row r="77" spans="1:18" x14ac:dyDescent="0.3">
      <c r="A77" s="33"/>
      <c r="B77" s="33"/>
      <c r="C77" s="46"/>
      <c r="D77" s="33"/>
      <c r="E77" s="33"/>
      <c r="F77" s="47" t="s">
        <v>91</v>
      </c>
      <c r="G77" s="48">
        <f>G71-G78</f>
        <v>0</v>
      </c>
      <c r="H77" s="48">
        <f t="shared" ref="H77:M77" si="24">H71-H78</f>
        <v>0</v>
      </c>
      <c r="I77" s="48">
        <f t="shared" si="24"/>
        <v>6420.1499999999987</v>
      </c>
      <c r="J77" s="48">
        <f t="shared" si="24"/>
        <v>710.08000000000027</v>
      </c>
      <c r="K77" s="48">
        <f t="shared" si="24"/>
        <v>799.02</v>
      </c>
      <c r="L77" s="48">
        <f t="shared" si="24"/>
        <v>238.17000000000002</v>
      </c>
      <c r="M77" s="48">
        <f t="shared" si="24"/>
        <v>8167.4199999999955</v>
      </c>
    </row>
    <row r="78" spans="1:18" x14ac:dyDescent="0.3">
      <c r="A78" s="33"/>
      <c r="B78" s="33"/>
      <c r="C78" s="46"/>
      <c r="D78" s="33"/>
      <c r="E78" s="33"/>
      <c r="F78" s="47" t="s">
        <v>92</v>
      </c>
      <c r="G78" s="48">
        <f t="shared" ref="G78:L78" si="25">G5</f>
        <v>232.04</v>
      </c>
      <c r="H78" s="48">
        <f t="shared" si="25"/>
        <v>0</v>
      </c>
      <c r="I78" s="48">
        <f t="shared" si="25"/>
        <v>149.5</v>
      </c>
      <c r="J78" s="48">
        <f t="shared" si="25"/>
        <v>0</v>
      </c>
      <c r="K78" s="48">
        <f t="shared" si="25"/>
        <v>0</v>
      </c>
      <c r="L78" s="48">
        <f t="shared" si="25"/>
        <v>0</v>
      </c>
      <c r="M78" s="48">
        <f>SUM(G78:L78)</f>
        <v>381.53999999999996</v>
      </c>
    </row>
    <row r="79" spans="1:18" x14ac:dyDescent="0.3">
      <c r="A79" s="33"/>
      <c r="B79" s="33"/>
      <c r="C79" s="46"/>
      <c r="D79" s="33"/>
      <c r="E79" s="33"/>
      <c r="F79" s="49" t="s">
        <v>93</v>
      </c>
      <c r="G79" s="50">
        <f t="shared" ref="G79:L79" si="26">SUM(G77:G78)</f>
        <v>232.04</v>
      </c>
      <c r="H79" s="50">
        <f t="shared" si="26"/>
        <v>0</v>
      </c>
      <c r="I79" s="50">
        <f t="shared" si="26"/>
        <v>6569.6499999999987</v>
      </c>
      <c r="J79" s="50">
        <f t="shared" si="26"/>
        <v>710.08000000000027</v>
      </c>
      <c r="K79" s="50">
        <f t="shared" si="26"/>
        <v>799.02</v>
      </c>
      <c r="L79" s="50">
        <f t="shared" si="26"/>
        <v>238.17000000000002</v>
      </c>
      <c r="M79" s="51">
        <f>SUM(G79:L79)</f>
        <v>8548.9599999999991</v>
      </c>
      <c r="N79" s="52"/>
    </row>
    <row r="80" spans="1:18" x14ac:dyDescent="0.3">
      <c r="A80" s="33"/>
      <c r="B80" s="33"/>
      <c r="C80" s="46"/>
      <c r="D80" s="33"/>
      <c r="E80" s="33"/>
      <c r="F80" s="47" t="s">
        <v>94</v>
      </c>
      <c r="G80" s="53" t="s">
        <v>95</v>
      </c>
      <c r="H80" s="53"/>
      <c r="I80" s="53" t="s">
        <v>95</v>
      </c>
      <c r="J80" s="53" t="s">
        <v>95</v>
      </c>
      <c r="K80" s="53" t="s">
        <v>95</v>
      </c>
      <c r="L80" s="53" t="s">
        <v>95</v>
      </c>
      <c r="M80" s="48">
        <f>SUM(G80:L80)</f>
        <v>0</v>
      </c>
    </row>
    <row r="81" spans="1:13" x14ac:dyDescent="0.3">
      <c r="A81" s="33"/>
      <c r="B81" s="33"/>
      <c r="C81" s="46"/>
      <c r="D81" s="33"/>
      <c r="E81" s="33"/>
      <c r="F81" s="47" t="s">
        <v>96</v>
      </c>
      <c r="G81" s="53" t="s">
        <v>95</v>
      </c>
      <c r="H81" s="54"/>
      <c r="I81" s="53" t="s">
        <v>95</v>
      </c>
      <c r="J81" s="53" t="s">
        <v>95</v>
      </c>
      <c r="K81" s="53" t="s">
        <v>95</v>
      </c>
      <c r="L81" s="53" t="s">
        <v>95</v>
      </c>
      <c r="M81" s="48">
        <f>SUM(G81:L81)</f>
        <v>0</v>
      </c>
    </row>
    <row r="82" spans="1:13" ht="17.25" thickBot="1" x14ac:dyDescent="0.35">
      <c r="A82" s="33"/>
      <c r="B82" s="33"/>
      <c r="C82" s="46"/>
      <c r="D82" s="33"/>
      <c r="E82" s="33"/>
      <c r="F82" s="55" t="s">
        <v>97</v>
      </c>
      <c r="G82" s="56">
        <f t="shared" ref="G82:L82" si="27">SUM(G79:G81)</f>
        <v>232.04</v>
      </c>
      <c r="H82" s="56">
        <f t="shared" si="27"/>
        <v>0</v>
      </c>
      <c r="I82" s="56">
        <f t="shared" si="27"/>
        <v>6569.6499999999987</v>
      </c>
      <c r="J82" s="56">
        <f t="shared" si="27"/>
        <v>710.08000000000027</v>
      </c>
      <c r="K82" s="56">
        <f t="shared" si="27"/>
        <v>799.02</v>
      </c>
      <c r="L82" s="56">
        <f t="shared" si="27"/>
        <v>238.17000000000002</v>
      </c>
      <c r="M82" s="57">
        <f>SUM(G82:L82)</f>
        <v>8548.9599999999991</v>
      </c>
    </row>
    <row r="83" spans="1:13" x14ac:dyDescent="0.3">
      <c r="A83" s="33"/>
      <c r="B83" s="33"/>
      <c r="C83" s="33"/>
      <c r="D83" s="33"/>
      <c r="E83" s="33"/>
      <c r="F83" s="33"/>
      <c r="G83" s="35"/>
      <c r="H83" s="35"/>
      <c r="I83" s="35"/>
      <c r="J83" s="35"/>
      <c r="K83" s="35"/>
      <c r="L83" s="35"/>
      <c r="M83" s="3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F67A-A349-466A-B9F8-FCA283A1F2B4}">
  <dimension ref="A1:R7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8" sqref="A8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8" t="s">
        <v>14</v>
      </c>
      <c r="B3" s="8" t="s">
        <v>15</v>
      </c>
      <c r="C3" s="9" t="s">
        <v>199</v>
      </c>
      <c r="D3" s="8" t="s">
        <v>184</v>
      </c>
      <c r="E3" s="9">
        <v>43104</v>
      </c>
      <c r="F3" s="10" t="s">
        <v>162</v>
      </c>
      <c r="G3" s="11"/>
      <c r="H3" s="11"/>
      <c r="I3" s="11">
        <v>0</v>
      </c>
      <c r="J3" s="11"/>
      <c r="K3" s="11"/>
      <c r="L3" s="11"/>
      <c r="M3" s="11">
        <f>SUM(G3:L3)</f>
        <v>0</v>
      </c>
    </row>
    <row r="4" spans="1:13" x14ac:dyDescent="0.3">
      <c r="A4" s="8" t="s">
        <v>14</v>
      </c>
      <c r="B4" s="8" t="s">
        <v>15</v>
      </c>
      <c r="C4" s="9">
        <v>43182</v>
      </c>
      <c r="D4" s="8" t="s">
        <v>202</v>
      </c>
      <c r="E4" s="9">
        <v>43153</v>
      </c>
      <c r="F4" s="10" t="s">
        <v>201</v>
      </c>
      <c r="G4" s="11">
        <v>0</v>
      </c>
      <c r="H4" s="11"/>
      <c r="I4" s="11"/>
      <c r="J4" s="11"/>
      <c r="K4" s="11"/>
      <c r="L4" s="11"/>
      <c r="M4" s="11">
        <f t="shared" ref="M4" si="0">SUM(G4:L4)</f>
        <v>0</v>
      </c>
    </row>
    <row r="5" spans="1:13" x14ac:dyDescent="0.3">
      <c r="A5" s="12" t="s">
        <v>20</v>
      </c>
      <c r="B5" s="13" t="s">
        <v>15</v>
      </c>
      <c r="C5" s="14"/>
      <c r="D5" s="15"/>
      <c r="E5" s="16"/>
      <c r="F5" s="13"/>
      <c r="G5" s="17">
        <f t="shared" ref="G5:L5" si="1">SUBTOTAL(9,G3:G4)</f>
        <v>0</v>
      </c>
      <c r="H5" s="17">
        <f t="shared" si="1"/>
        <v>0</v>
      </c>
      <c r="I5" s="17">
        <f t="shared" si="1"/>
        <v>0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>SUBTOTAL(9,M3:M4)</f>
        <v>0</v>
      </c>
    </row>
    <row r="6" spans="1:13" x14ac:dyDescent="0.3">
      <c r="A6" s="8" t="s">
        <v>124</v>
      </c>
      <c r="B6" s="8" t="s">
        <v>165</v>
      </c>
      <c r="C6" s="9">
        <v>43153</v>
      </c>
      <c r="D6" s="8" t="s">
        <v>202</v>
      </c>
      <c r="E6" s="9">
        <v>43157</v>
      </c>
      <c r="F6" s="10" t="s">
        <v>25</v>
      </c>
      <c r="G6" s="11">
        <v>0</v>
      </c>
      <c r="H6" s="11"/>
      <c r="I6" s="11">
        <v>0</v>
      </c>
      <c r="J6" s="11"/>
      <c r="K6" s="11">
        <v>0</v>
      </c>
      <c r="L6" s="11"/>
      <c r="M6" s="11">
        <f>SUM(G6:L6)</f>
        <v>0</v>
      </c>
    </row>
    <row r="7" spans="1:13" x14ac:dyDescent="0.3">
      <c r="A7" s="12" t="s">
        <v>147</v>
      </c>
      <c r="B7" s="13"/>
      <c r="C7" s="14"/>
      <c r="D7" s="15"/>
      <c r="E7" s="16"/>
      <c r="F7" s="13"/>
      <c r="G7" s="17">
        <f t="shared" ref="G7:L7" si="2">SUBTOTAL(9,G6:G6)</f>
        <v>0</v>
      </c>
      <c r="H7" s="17">
        <f t="shared" si="2"/>
        <v>0</v>
      </c>
      <c r="I7" s="17">
        <f t="shared" si="2"/>
        <v>0</v>
      </c>
      <c r="J7" s="17">
        <f t="shared" si="2"/>
        <v>0</v>
      </c>
      <c r="K7" s="17">
        <f t="shared" si="2"/>
        <v>0</v>
      </c>
      <c r="L7" s="17">
        <f t="shared" si="2"/>
        <v>0</v>
      </c>
      <c r="M7" s="17">
        <f>SUBTOTAL(9,M6:M6)</f>
        <v>0</v>
      </c>
    </row>
    <row r="8" spans="1:13" x14ac:dyDescent="0.3">
      <c r="A8" s="8" t="s">
        <v>161</v>
      </c>
      <c r="B8" s="8" t="s">
        <v>167</v>
      </c>
      <c r="C8" s="9">
        <v>43153</v>
      </c>
      <c r="D8" s="8" t="s">
        <v>184</v>
      </c>
      <c r="E8" s="9">
        <v>43122</v>
      </c>
      <c r="F8" s="24" t="s">
        <v>162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f>SUM(G8:L8)</f>
        <v>0</v>
      </c>
    </row>
    <row r="9" spans="1:13" x14ac:dyDescent="0.3">
      <c r="A9" s="8" t="s">
        <v>161</v>
      </c>
      <c r="B9" s="8" t="s">
        <v>167</v>
      </c>
      <c r="C9" s="9">
        <v>43153</v>
      </c>
      <c r="D9" s="10" t="s">
        <v>202</v>
      </c>
      <c r="E9" s="9">
        <v>43151</v>
      </c>
      <c r="F9" s="24" t="s">
        <v>203</v>
      </c>
      <c r="G9" s="11"/>
      <c r="H9" s="11"/>
      <c r="I9" s="11">
        <v>0</v>
      </c>
      <c r="J9" s="11"/>
      <c r="K9" s="11"/>
      <c r="L9" s="11"/>
      <c r="M9" s="11">
        <f>SUM(G9:L9)</f>
        <v>0</v>
      </c>
    </row>
    <row r="10" spans="1:13" x14ac:dyDescent="0.3">
      <c r="A10" s="12" t="s">
        <v>160</v>
      </c>
      <c r="B10" s="13"/>
      <c r="C10" s="14"/>
      <c r="D10" s="15"/>
      <c r="E10" s="16"/>
      <c r="F10" s="13"/>
      <c r="G10" s="17">
        <f t="shared" ref="G10:L10" si="3">SUBTOTAL(9,G8:G9)</f>
        <v>0</v>
      </c>
      <c r="H10" s="17">
        <f t="shared" si="3"/>
        <v>0</v>
      </c>
      <c r="I10" s="17">
        <f t="shared" si="3"/>
        <v>0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>SUBTOTAL(9,M8:M9)</f>
        <v>0</v>
      </c>
    </row>
    <row r="11" spans="1:13" x14ac:dyDescent="0.3">
      <c r="A11" s="18" t="s">
        <v>178</v>
      </c>
      <c r="B11" s="19" t="s">
        <v>166</v>
      </c>
      <c r="C11" s="20"/>
      <c r="D11" s="21"/>
      <c r="E11" s="22"/>
      <c r="F11" s="19"/>
      <c r="G11" s="23"/>
      <c r="H11" s="23"/>
      <c r="I11" s="23"/>
      <c r="J11" s="23"/>
      <c r="K11" s="23"/>
      <c r="L11" s="23"/>
      <c r="M11" s="23"/>
    </row>
    <row r="12" spans="1:13" x14ac:dyDescent="0.3">
      <c r="A12" s="8" t="s">
        <v>28</v>
      </c>
      <c r="B12" s="8" t="s">
        <v>29</v>
      </c>
      <c r="C12" s="9">
        <v>43280</v>
      </c>
      <c r="D12" s="10" t="s">
        <v>206</v>
      </c>
      <c r="E12" s="9">
        <v>43215</v>
      </c>
      <c r="F12" s="10" t="s">
        <v>31</v>
      </c>
      <c r="G12" s="11"/>
      <c r="H12" s="11"/>
      <c r="I12" s="11">
        <v>338</v>
      </c>
      <c r="J12" s="11">
        <v>43</v>
      </c>
      <c r="K12" s="11">
        <v>4.99</v>
      </c>
      <c r="L12" s="11"/>
      <c r="M12" s="11">
        <f>SUM(G12:L12)</f>
        <v>385.99</v>
      </c>
    </row>
    <row r="13" spans="1:13" x14ac:dyDescent="0.3">
      <c r="A13" s="8" t="s">
        <v>28</v>
      </c>
      <c r="B13" s="8" t="s">
        <v>29</v>
      </c>
      <c r="C13" s="9">
        <v>43280</v>
      </c>
      <c r="D13" s="10" t="s">
        <v>205</v>
      </c>
      <c r="E13" s="9">
        <v>43235</v>
      </c>
      <c r="F13" s="10" t="s">
        <v>31</v>
      </c>
      <c r="G13" s="11"/>
      <c r="H13" s="11"/>
      <c r="I13" s="11">
        <v>338</v>
      </c>
      <c r="J13" s="11">
        <v>52</v>
      </c>
      <c r="K13" s="11">
        <v>0.99</v>
      </c>
      <c r="L13" s="11"/>
      <c r="M13" s="11">
        <f t="shared" ref="M13:M24" si="4">SUM(G13:L13)</f>
        <v>390.99</v>
      </c>
    </row>
    <row r="14" spans="1:13" x14ac:dyDescent="0.3">
      <c r="A14" s="8" t="s">
        <v>28</v>
      </c>
      <c r="B14" s="8" t="s">
        <v>29</v>
      </c>
      <c r="C14" s="9">
        <v>43280</v>
      </c>
      <c r="D14" s="10" t="s">
        <v>207</v>
      </c>
      <c r="E14" s="9">
        <v>43222</v>
      </c>
      <c r="F14" s="10" t="s">
        <v>31</v>
      </c>
      <c r="G14" s="11"/>
      <c r="H14" s="11"/>
      <c r="I14" s="11">
        <v>338</v>
      </c>
      <c r="J14" s="11">
        <v>45</v>
      </c>
      <c r="K14" s="11">
        <v>0.99</v>
      </c>
      <c r="L14" s="11"/>
      <c r="M14" s="11">
        <f t="shared" si="4"/>
        <v>383.99</v>
      </c>
    </row>
    <row r="15" spans="1:13" x14ac:dyDescent="0.3">
      <c r="A15" s="8" t="s">
        <v>28</v>
      </c>
      <c r="B15" s="8" t="s">
        <v>29</v>
      </c>
      <c r="C15" s="9">
        <v>43280</v>
      </c>
      <c r="D15" s="10" t="s">
        <v>208</v>
      </c>
      <c r="E15" s="9" t="s">
        <v>209</v>
      </c>
      <c r="F15" s="10" t="s">
        <v>31</v>
      </c>
      <c r="G15" s="11"/>
      <c r="H15" s="11"/>
      <c r="I15" s="11">
        <v>676</v>
      </c>
      <c r="J15" s="11">
        <v>70</v>
      </c>
      <c r="K15" s="11">
        <v>6.67</v>
      </c>
      <c r="L15" s="11"/>
      <c r="M15" s="11">
        <f t="shared" si="4"/>
        <v>752.67</v>
      </c>
    </row>
    <row r="16" spans="1:13" x14ac:dyDescent="0.3">
      <c r="A16" s="10" t="s">
        <v>28</v>
      </c>
      <c r="B16" s="8" t="s">
        <v>29</v>
      </c>
      <c r="C16" s="9">
        <v>43207</v>
      </c>
      <c r="D16" s="10" t="s">
        <v>210</v>
      </c>
      <c r="E16" s="9" t="s">
        <v>211</v>
      </c>
      <c r="F16" s="10" t="s">
        <v>31</v>
      </c>
      <c r="G16" s="11"/>
      <c r="H16" s="11"/>
      <c r="I16" s="11">
        <v>338</v>
      </c>
      <c r="J16" s="11">
        <v>111</v>
      </c>
      <c r="K16" s="11">
        <v>27.19</v>
      </c>
      <c r="L16" s="11"/>
      <c r="M16" s="11">
        <f t="shared" si="4"/>
        <v>476.19</v>
      </c>
    </row>
    <row r="17" spans="1:13" x14ac:dyDescent="0.3">
      <c r="A17" s="10" t="s">
        <v>28</v>
      </c>
      <c r="B17" s="8" t="s">
        <v>29</v>
      </c>
      <c r="C17" s="9">
        <v>43207</v>
      </c>
      <c r="D17" s="10" t="s">
        <v>212</v>
      </c>
      <c r="E17" s="9">
        <v>43183</v>
      </c>
      <c r="F17" s="10" t="s">
        <v>213</v>
      </c>
      <c r="G17" s="11"/>
      <c r="H17" s="11"/>
      <c r="I17" s="11">
        <v>0</v>
      </c>
      <c r="J17" s="11">
        <f>24+8.1</f>
        <v>32.1</v>
      </c>
      <c r="K17" s="11">
        <v>6</v>
      </c>
      <c r="L17" s="11"/>
      <c r="M17" s="11">
        <f t="shared" si="4"/>
        <v>38.1</v>
      </c>
    </row>
    <row r="18" spans="1:13" x14ac:dyDescent="0.3">
      <c r="A18" s="10" t="s">
        <v>28</v>
      </c>
      <c r="B18" s="8" t="s">
        <v>29</v>
      </c>
      <c r="C18" s="9">
        <v>43280</v>
      </c>
      <c r="D18" s="10" t="s">
        <v>214</v>
      </c>
      <c r="E18" s="9">
        <v>43210</v>
      </c>
      <c r="F18" s="10" t="s">
        <v>31</v>
      </c>
      <c r="G18" s="11"/>
      <c r="H18" s="11"/>
      <c r="I18" s="11">
        <v>286</v>
      </c>
      <c r="J18" s="11">
        <v>49</v>
      </c>
      <c r="K18" s="11">
        <v>0.99</v>
      </c>
      <c r="L18" s="11"/>
      <c r="M18" s="11">
        <f t="shared" si="4"/>
        <v>335.99</v>
      </c>
    </row>
    <row r="19" spans="1:13" x14ac:dyDescent="0.3">
      <c r="A19" s="10" t="s">
        <v>28</v>
      </c>
      <c r="B19" s="8" t="s">
        <v>29</v>
      </c>
      <c r="C19" s="9">
        <v>43280</v>
      </c>
      <c r="D19" s="10" t="s">
        <v>214</v>
      </c>
      <c r="E19" s="9" t="s">
        <v>215</v>
      </c>
      <c r="F19" s="10" t="s">
        <v>31</v>
      </c>
      <c r="G19" s="11"/>
      <c r="H19" s="11"/>
      <c r="I19" s="11">
        <v>212.2</v>
      </c>
      <c r="J19" s="11">
        <v>67</v>
      </c>
      <c r="K19" s="11">
        <v>2.48</v>
      </c>
      <c r="L19" s="11"/>
      <c r="M19" s="11">
        <f t="shared" si="4"/>
        <v>281.68</v>
      </c>
    </row>
    <row r="20" spans="1:13" x14ac:dyDescent="0.3">
      <c r="A20" s="10" t="s">
        <v>28</v>
      </c>
      <c r="B20" s="8" t="s">
        <v>29</v>
      </c>
      <c r="C20" s="9">
        <v>43207</v>
      </c>
      <c r="D20" s="10" t="s">
        <v>183</v>
      </c>
      <c r="E20" s="9">
        <v>43164</v>
      </c>
      <c r="F20" s="10" t="s">
        <v>31</v>
      </c>
      <c r="G20" s="11"/>
      <c r="H20" s="11"/>
      <c r="I20" s="11">
        <v>338</v>
      </c>
      <c r="J20" s="11">
        <v>43.8</v>
      </c>
      <c r="K20" s="11">
        <v>4.2</v>
      </c>
      <c r="L20" s="11"/>
      <c r="M20" s="11">
        <f t="shared" si="4"/>
        <v>386</v>
      </c>
    </row>
    <row r="21" spans="1:13" x14ac:dyDescent="0.3">
      <c r="A21" s="10" t="s">
        <v>28</v>
      </c>
      <c r="B21" s="8" t="s">
        <v>29</v>
      </c>
      <c r="C21" s="9">
        <v>43207</v>
      </c>
      <c r="D21" s="10" t="s">
        <v>183</v>
      </c>
      <c r="E21" s="9">
        <v>43179</v>
      </c>
      <c r="F21" s="10" t="s">
        <v>31</v>
      </c>
      <c r="G21" s="11"/>
      <c r="H21" s="11"/>
      <c r="I21" s="11">
        <v>338</v>
      </c>
      <c r="J21" s="11">
        <v>37</v>
      </c>
      <c r="K21" s="11">
        <v>7.43</v>
      </c>
      <c r="L21" s="11"/>
      <c r="M21" s="11">
        <f t="shared" si="4"/>
        <v>382.43</v>
      </c>
    </row>
    <row r="22" spans="1:13" x14ac:dyDescent="0.3">
      <c r="A22" s="10" t="s">
        <v>28</v>
      </c>
      <c r="B22" s="8" t="s">
        <v>29</v>
      </c>
      <c r="C22" s="9">
        <v>43207</v>
      </c>
      <c r="D22" s="10" t="s">
        <v>183</v>
      </c>
      <c r="E22" s="9">
        <v>43187</v>
      </c>
      <c r="F22" s="10" t="s">
        <v>31</v>
      </c>
      <c r="G22" s="11"/>
      <c r="H22" s="11"/>
      <c r="I22" s="11">
        <v>338</v>
      </c>
      <c r="J22" s="11">
        <f>16+27</f>
        <v>43</v>
      </c>
      <c r="K22" s="11">
        <v>6.89</v>
      </c>
      <c r="L22" s="11"/>
      <c r="M22" s="11">
        <f t="shared" si="4"/>
        <v>387.89</v>
      </c>
    </row>
    <row r="23" spans="1:13" x14ac:dyDescent="0.3">
      <c r="A23" s="10" t="s">
        <v>28</v>
      </c>
      <c r="B23" s="8" t="s">
        <v>29</v>
      </c>
      <c r="C23" s="9">
        <v>43269</v>
      </c>
      <c r="D23" s="10" t="s">
        <v>216</v>
      </c>
      <c r="E23" s="9">
        <v>43285</v>
      </c>
      <c r="F23" s="10" t="s">
        <v>31</v>
      </c>
      <c r="G23" s="11"/>
      <c r="H23" s="11"/>
      <c r="I23" s="11">
        <v>0</v>
      </c>
      <c r="J23" s="11">
        <v>0</v>
      </c>
      <c r="K23" s="11">
        <v>102.35</v>
      </c>
      <c r="L23" s="11"/>
      <c r="M23" s="11">
        <f t="shared" si="4"/>
        <v>102.35</v>
      </c>
    </row>
    <row r="24" spans="1:13" x14ac:dyDescent="0.3">
      <c r="A24" s="10" t="s">
        <v>28</v>
      </c>
      <c r="B24" s="8" t="s">
        <v>29</v>
      </c>
      <c r="C24" s="9">
        <v>43242</v>
      </c>
      <c r="D24" s="10" t="s">
        <v>217</v>
      </c>
      <c r="E24" s="9" t="s">
        <v>211</v>
      </c>
      <c r="F24" s="10" t="s">
        <v>266</v>
      </c>
      <c r="G24" s="11"/>
      <c r="H24" s="11"/>
      <c r="I24" s="11"/>
      <c r="J24" s="11"/>
      <c r="K24" s="11">
        <v>129.6</v>
      </c>
      <c r="L24" s="11"/>
      <c r="M24" s="11">
        <f t="shared" si="4"/>
        <v>129.6</v>
      </c>
    </row>
    <row r="25" spans="1:13" x14ac:dyDescent="0.3">
      <c r="A25" s="12" t="s">
        <v>39</v>
      </c>
      <c r="B25" s="13"/>
      <c r="C25" s="14"/>
      <c r="D25" s="15"/>
      <c r="E25" s="16"/>
      <c r="F25" s="13"/>
      <c r="G25" s="17">
        <f t="shared" ref="G25:M25" si="5">SUBTOTAL(9,G12:G24)</f>
        <v>0</v>
      </c>
      <c r="H25" s="17">
        <f t="shared" si="5"/>
        <v>0</v>
      </c>
      <c r="I25" s="17">
        <f t="shared" si="5"/>
        <v>3540.2</v>
      </c>
      <c r="J25" s="17">
        <f t="shared" si="5"/>
        <v>592.9</v>
      </c>
      <c r="K25" s="17">
        <f t="shared" si="5"/>
        <v>300.77</v>
      </c>
      <c r="L25" s="17">
        <f t="shared" si="5"/>
        <v>0</v>
      </c>
      <c r="M25" s="17">
        <f t="shared" si="5"/>
        <v>4433.8700000000008</v>
      </c>
    </row>
    <row r="26" spans="1:13" x14ac:dyDescent="0.3">
      <c r="A26" s="10" t="s">
        <v>195</v>
      </c>
      <c r="B26" s="8" t="s">
        <v>41</v>
      </c>
      <c r="C26" s="9">
        <v>43265</v>
      </c>
      <c r="D26" s="10" t="s">
        <v>221</v>
      </c>
      <c r="E26" s="9">
        <v>43235</v>
      </c>
      <c r="F26" s="10" t="s">
        <v>203</v>
      </c>
      <c r="G26" s="11"/>
      <c r="H26" s="11"/>
      <c r="I26" s="11">
        <v>14.8</v>
      </c>
      <c r="J26" s="11"/>
      <c r="K26" s="11">
        <v>21</v>
      </c>
      <c r="L26" s="11"/>
      <c r="M26" s="11">
        <f t="shared" ref="M26:M27" si="6">SUM(G26:L26)</f>
        <v>35.799999999999997</v>
      </c>
    </row>
    <row r="27" spans="1:13" x14ac:dyDescent="0.3">
      <c r="A27" s="10" t="s">
        <v>195</v>
      </c>
      <c r="B27" s="8" t="s">
        <v>41</v>
      </c>
      <c r="C27" s="9">
        <v>43265</v>
      </c>
      <c r="D27" s="10" t="s">
        <v>37</v>
      </c>
      <c r="E27" s="9">
        <v>43229</v>
      </c>
      <c r="F27" s="10"/>
      <c r="G27" s="11"/>
      <c r="H27" s="11"/>
      <c r="I27" s="11">
        <v>8</v>
      </c>
      <c r="J27" s="11"/>
      <c r="K27" s="11"/>
      <c r="L27" s="11"/>
      <c r="M27" s="11">
        <f t="shared" si="6"/>
        <v>8</v>
      </c>
    </row>
    <row r="28" spans="1:13" x14ac:dyDescent="0.3">
      <c r="A28" s="12" t="s">
        <v>194</v>
      </c>
      <c r="B28" s="13" t="s">
        <v>41</v>
      </c>
      <c r="C28" s="14"/>
      <c r="D28" s="15"/>
      <c r="E28" s="16"/>
      <c r="F28" s="13"/>
      <c r="G28" s="17">
        <f t="shared" ref="G28:H28" si="7">SUBTOTAL(9,G26:G26)</f>
        <v>0</v>
      </c>
      <c r="H28" s="17">
        <f t="shared" si="7"/>
        <v>0</v>
      </c>
      <c r="I28" s="17">
        <f>SUBTOTAL(9,I26:I27)</f>
        <v>22.8</v>
      </c>
      <c r="J28" s="17">
        <f t="shared" ref="J28:L28" si="8">SUBTOTAL(9,J26:J27)</f>
        <v>0</v>
      </c>
      <c r="K28" s="17">
        <f t="shared" si="8"/>
        <v>21</v>
      </c>
      <c r="L28" s="17">
        <f t="shared" si="8"/>
        <v>0</v>
      </c>
      <c r="M28" s="17">
        <f>SUBTOTAL(9,M26:M27)</f>
        <v>43.8</v>
      </c>
    </row>
    <row r="29" spans="1:13" x14ac:dyDescent="0.3">
      <c r="A29" s="10" t="s">
        <v>42</v>
      </c>
      <c r="B29" s="8" t="s">
        <v>41</v>
      </c>
      <c r="C29" s="9">
        <v>43269</v>
      </c>
      <c r="D29" s="25" t="s">
        <v>128</v>
      </c>
      <c r="E29" s="9">
        <v>43229</v>
      </c>
      <c r="F29" s="25" t="s">
        <v>108</v>
      </c>
      <c r="G29" s="11"/>
      <c r="H29" s="11"/>
      <c r="I29" s="11">
        <v>55.1</v>
      </c>
      <c r="J29" s="11"/>
      <c r="K29" s="11"/>
      <c r="L29" s="11"/>
      <c r="M29" s="11">
        <f>SUM(G29:L29)</f>
        <v>55.1</v>
      </c>
    </row>
    <row r="30" spans="1:13" x14ac:dyDescent="0.3">
      <c r="A30" s="12" t="s">
        <v>50</v>
      </c>
      <c r="B30" s="13"/>
      <c r="C30" s="16"/>
      <c r="D30" s="15"/>
      <c r="E30" s="16"/>
      <c r="F30" s="13"/>
      <c r="G30" s="17">
        <f t="shared" ref="G30:L30" si="9">SUBTOTAL(9,G29:G29)</f>
        <v>0</v>
      </c>
      <c r="H30" s="17">
        <f t="shared" si="9"/>
        <v>0</v>
      </c>
      <c r="I30" s="17">
        <f t="shared" si="9"/>
        <v>55.1</v>
      </c>
      <c r="J30" s="17">
        <f t="shared" si="9"/>
        <v>0</v>
      </c>
      <c r="K30" s="17">
        <f t="shared" si="9"/>
        <v>0</v>
      </c>
      <c r="L30" s="17">
        <f t="shared" si="9"/>
        <v>0</v>
      </c>
      <c r="M30" s="17">
        <f>SUBTOTAL(9,M29:M29)</f>
        <v>55.1</v>
      </c>
    </row>
    <row r="31" spans="1:13" x14ac:dyDescent="0.3">
      <c r="A31" s="8" t="s">
        <v>51</v>
      </c>
      <c r="B31" s="8" t="s">
        <v>41</v>
      </c>
      <c r="C31" s="9">
        <v>43222</v>
      </c>
      <c r="D31" s="25" t="s">
        <v>186</v>
      </c>
      <c r="E31" s="9" t="s">
        <v>211</v>
      </c>
      <c r="F31" s="24" t="s">
        <v>54</v>
      </c>
      <c r="G31" s="11"/>
      <c r="H31" s="11"/>
      <c r="I31" s="11">
        <v>0</v>
      </c>
      <c r="J31" s="11">
        <v>13</v>
      </c>
      <c r="K31" s="11">
        <v>21</v>
      </c>
      <c r="L31" s="11">
        <v>0</v>
      </c>
      <c r="M31" s="11">
        <f>SUM(G31:L31)</f>
        <v>34</v>
      </c>
    </row>
    <row r="32" spans="1:13" x14ac:dyDescent="0.3">
      <c r="A32" s="10" t="s">
        <v>51</v>
      </c>
      <c r="B32" s="8" t="s">
        <v>41</v>
      </c>
      <c r="C32" s="9">
        <v>43269</v>
      </c>
      <c r="D32" s="25" t="s">
        <v>186</v>
      </c>
      <c r="E32" s="8">
        <v>43215</v>
      </c>
      <c r="F32" s="24" t="s">
        <v>54</v>
      </c>
      <c r="G32" s="11"/>
      <c r="H32" s="11"/>
      <c r="I32" s="11">
        <v>-50.2</v>
      </c>
      <c r="J32" s="11"/>
      <c r="K32" s="11">
        <v>0</v>
      </c>
      <c r="L32" s="11"/>
      <c r="M32" s="11">
        <f t="shared" ref="M32:M39" si="10">SUM(G32:L32)</f>
        <v>-50.2</v>
      </c>
    </row>
    <row r="33" spans="1:17" x14ac:dyDescent="0.3">
      <c r="A33" s="10" t="s">
        <v>51</v>
      </c>
      <c r="B33" s="8" t="s">
        <v>41</v>
      </c>
      <c r="C33" s="9">
        <v>43269</v>
      </c>
      <c r="D33" s="25" t="s">
        <v>174</v>
      </c>
      <c r="E33" s="8">
        <v>43241</v>
      </c>
      <c r="F33" s="24" t="s">
        <v>54</v>
      </c>
      <c r="G33" s="11"/>
      <c r="H33" s="11"/>
      <c r="I33" s="11">
        <v>51.6</v>
      </c>
      <c r="J33" s="11"/>
      <c r="K33" s="11"/>
      <c r="L33" s="11"/>
      <c r="M33" s="11">
        <f t="shared" si="10"/>
        <v>51.6</v>
      </c>
    </row>
    <row r="34" spans="1:17" x14ac:dyDescent="0.3">
      <c r="A34" s="10" t="s">
        <v>51</v>
      </c>
      <c r="B34" s="8" t="s">
        <v>41</v>
      </c>
      <c r="C34" s="9">
        <v>43269</v>
      </c>
      <c r="D34" s="25" t="s">
        <v>174</v>
      </c>
      <c r="E34" s="8">
        <v>43307</v>
      </c>
      <c r="F34" s="24" t="s">
        <v>54</v>
      </c>
      <c r="G34" s="11"/>
      <c r="H34" s="11"/>
      <c r="I34" s="11">
        <v>51.6</v>
      </c>
      <c r="J34" s="11"/>
      <c r="K34" s="11"/>
      <c r="L34" s="11"/>
      <c r="M34" s="11">
        <f t="shared" si="10"/>
        <v>51.6</v>
      </c>
    </row>
    <row r="35" spans="1:17" x14ac:dyDescent="0.3">
      <c r="A35" s="10" t="s">
        <v>51</v>
      </c>
      <c r="B35" s="8" t="s">
        <v>41</v>
      </c>
      <c r="C35" s="9">
        <v>43269</v>
      </c>
      <c r="D35" s="25" t="s">
        <v>105</v>
      </c>
      <c r="E35" s="8">
        <v>43279</v>
      </c>
      <c r="F35" s="24" t="s">
        <v>54</v>
      </c>
      <c r="G35" s="11"/>
      <c r="H35" s="11"/>
      <c r="I35" s="11">
        <v>51.6</v>
      </c>
      <c r="J35" s="11"/>
      <c r="K35" s="11"/>
      <c r="L35" s="11"/>
      <c r="M35" s="11">
        <f t="shared" si="10"/>
        <v>51.6</v>
      </c>
    </row>
    <row r="36" spans="1:17" x14ac:dyDescent="0.3">
      <c r="A36" s="10" t="s">
        <v>51</v>
      </c>
      <c r="B36" s="8" t="s">
        <v>41</v>
      </c>
      <c r="C36" s="9">
        <v>43269</v>
      </c>
      <c r="D36" s="25" t="s">
        <v>174</v>
      </c>
      <c r="E36" s="8">
        <v>43278</v>
      </c>
      <c r="F36" s="24" t="s">
        <v>54</v>
      </c>
      <c r="G36" s="11"/>
      <c r="H36" s="11"/>
      <c r="I36" s="11">
        <v>51.6</v>
      </c>
      <c r="J36" s="11"/>
      <c r="K36" s="11"/>
      <c r="L36" s="11"/>
      <c r="M36" s="11">
        <f t="shared" si="10"/>
        <v>51.6</v>
      </c>
    </row>
    <row r="37" spans="1:17" x14ac:dyDescent="0.3">
      <c r="A37" s="10" t="s">
        <v>51</v>
      </c>
      <c r="B37" s="8" t="s">
        <v>41</v>
      </c>
      <c r="C37" s="9">
        <v>43269</v>
      </c>
      <c r="D37" s="25" t="s">
        <v>128</v>
      </c>
      <c r="E37" s="8">
        <v>43263</v>
      </c>
      <c r="F37" s="24" t="s">
        <v>54</v>
      </c>
      <c r="G37" s="11"/>
      <c r="H37" s="11"/>
      <c r="I37" s="11">
        <v>51.6</v>
      </c>
      <c r="J37" s="11"/>
      <c r="K37" s="11"/>
      <c r="L37" s="11"/>
      <c r="M37" s="11">
        <f t="shared" si="10"/>
        <v>51.6</v>
      </c>
    </row>
    <row r="38" spans="1:17" x14ac:dyDescent="0.3">
      <c r="A38" s="10" t="s">
        <v>51</v>
      </c>
      <c r="B38" s="8" t="s">
        <v>41</v>
      </c>
      <c r="C38" s="9">
        <v>43269</v>
      </c>
      <c r="D38" s="25" t="s">
        <v>204</v>
      </c>
      <c r="E38" s="8">
        <v>43241</v>
      </c>
      <c r="F38" s="24" t="s">
        <v>265</v>
      </c>
      <c r="G38" s="11"/>
      <c r="H38" s="11"/>
      <c r="I38" s="11">
        <v>26.3</v>
      </c>
      <c r="J38" s="11"/>
      <c r="K38" s="11"/>
      <c r="L38" s="11"/>
      <c r="M38" s="11">
        <f t="shared" si="10"/>
        <v>26.3</v>
      </c>
    </row>
    <row r="39" spans="1:17" x14ac:dyDescent="0.3">
      <c r="A39" s="10" t="s">
        <v>51</v>
      </c>
      <c r="B39" s="8" t="s">
        <v>41</v>
      </c>
      <c r="C39" s="9">
        <v>43242</v>
      </c>
      <c r="D39" s="25" t="s">
        <v>105</v>
      </c>
      <c r="E39" s="8">
        <v>43215</v>
      </c>
      <c r="F39" s="24" t="s">
        <v>54</v>
      </c>
      <c r="G39" s="11"/>
      <c r="H39" s="11"/>
      <c r="I39" s="11">
        <v>27.4</v>
      </c>
      <c r="J39" s="11"/>
      <c r="K39" s="11"/>
      <c r="L39" s="11"/>
      <c r="M39" s="11">
        <f t="shared" si="10"/>
        <v>27.4</v>
      </c>
    </row>
    <row r="40" spans="1:17" x14ac:dyDescent="0.3">
      <c r="A40" s="12" t="s">
        <v>60</v>
      </c>
      <c r="B40" s="13"/>
      <c r="C40" s="16"/>
      <c r="D40" s="15"/>
      <c r="E40" s="16"/>
      <c r="F40" s="13"/>
      <c r="G40" s="17">
        <f t="shared" ref="G40:L40" si="11">SUBTOTAL(9,G31:G39)</f>
        <v>0</v>
      </c>
      <c r="H40" s="17">
        <f t="shared" si="11"/>
        <v>0</v>
      </c>
      <c r="I40" s="17">
        <f t="shared" si="11"/>
        <v>261.5</v>
      </c>
      <c r="J40" s="17">
        <f t="shared" si="11"/>
        <v>13</v>
      </c>
      <c r="K40" s="17">
        <f t="shared" si="11"/>
        <v>21</v>
      </c>
      <c r="L40" s="17">
        <f t="shared" si="11"/>
        <v>0</v>
      </c>
      <c r="M40" s="17">
        <f>SUBTOTAL(9,M31:M39)</f>
        <v>295.49999999999994</v>
      </c>
    </row>
    <row r="41" spans="1:17" x14ac:dyDescent="0.3">
      <c r="A41" s="10" t="s">
        <v>61</v>
      </c>
      <c r="B41" s="10" t="s">
        <v>41</v>
      </c>
      <c r="C41" s="26">
        <v>43136</v>
      </c>
      <c r="D41" s="25" t="s">
        <v>37</v>
      </c>
      <c r="E41" s="9">
        <v>43229</v>
      </c>
      <c r="F41" s="25" t="s">
        <v>114</v>
      </c>
      <c r="G41" s="11"/>
      <c r="H41" s="11"/>
      <c r="I41" s="11">
        <v>71.3</v>
      </c>
      <c r="J41" s="11">
        <v>29.8</v>
      </c>
      <c r="K41" s="11"/>
      <c r="L41" s="11"/>
      <c r="M41" s="11">
        <f>SUM(G41:L41)</f>
        <v>101.1</v>
      </c>
      <c r="Q41" s="27"/>
    </row>
    <row r="42" spans="1:17" x14ac:dyDescent="0.3">
      <c r="A42" s="12" t="s">
        <v>64</v>
      </c>
      <c r="B42" s="13"/>
      <c r="C42" s="14"/>
      <c r="D42" s="15"/>
      <c r="E42" s="16"/>
      <c r="F42" s="13"/>
      <c r="G42" s="17">
        <f t="shared" ref="G42:M42" si="12">SUBTOTAL(9,G41:G41)</f>
        <v>0</v>
      </c>
      <c r="H42" s="17">
        <f t="shared" si="12"/>
        <v>0</v>
      </c>
      <c r="I42" s="17">
        <f t="shared" si="12"/>
        <v>71.3</v>
      </c>
      <c r="J42" s="17">
        <f t="shared" si="12"/>
        <v>29.8</v>
      </c>
      <c r="K42" s="17">
        <f t="shared" si="12"/>
        <v>0</v>
      </c>
      <c r="L42" s="17">
        <f t="shared" si="12"/>
        <v>0</v>
      </c>
      <c r="M42" s="17">
        <f t="shared" si="12"/>
        <v>101.1</v>
      </c>
      <c r="Q42" s="27"/>
    </row>
    <row r="43" spans="1:17" x14ac:dyDescent="0.3">
      <c r="A43" s="10" t="s">
        <v>66</v>
      </c>
      <c r="B43" s="10" t="s">
        <v>41</v>
      </c>
      <c r="C43" s="26">
        <v>43242</v>
      </c>
      <c r="D43" s="25" t="s">
        <v>185</v>
      </c>
      <c r="E43" s="9">
        <v>43229</v>
      </c>
      <c r="F43" s="11" t="s">
        <v>201</v>
      </c>
      <c r="G43" s="11"/>
      <c r="H43" s="11"/>
      <c r="I43" s="11">
        <v>156.5</v>
      </c>
      <c r="J43" s="11">
        <v>0</v>
      </c>
      <c r="K43" s="11"/>
      <c r="L43" s="11"/>
      <c r="M43" s="11">
        <f>SUM(G43:L43)</f>
        <v>156.5</v>
      </c>
    </row>
    <row r="44" spans="1:17" x14ac:dyDescent="0.3">
      <c r="A44" s="10" t="s">
        <v>66</v>
      </c>
      <c r="B44" s="10" t="s">
        <v>41</v>
      </c>
      <c r="C44" s="26">
        <v>43242</v>
      </c>
      <c r="D44" s="25" t="s">
        <v>174</v>
      </c>
      <c r="E44" s="9">
        <v>43228</v>
      </c>
      <c r="F44" s="11" t="s">
        <v>115</v>
      </c>
      <c r="G44" s="11"/>
      <c r="H44" s="11">
        <v>158.16</v>
      </c>
      <c r="I44" s="11"/>
      <c r="J44" s="11"/>
      <c r="K44" s="11"/>
      <c r="L44" s="11">
        <v>0</v>
      </c>
      <c r="M44" s="11">
        <f t="shared" ref="M44" si="13">SUM(G44:L44)</f>
        <v>158.16</v>
      </c>
    </row>
    <row r="45" spans="1:17" x14ac:dyDescent="0.3">
      <c r="A45" s="12" t="s">
        <v>71</v>
      </c>
      <c r="B45" s="13"/>
      <c r="C45" s="14"/>
      <c r="D45" s="15"/>
      <c r="E45" s="16"/>
      <c r="F45" s="13"/>
      <c r="G45" s="17">
        <f t="shared" ref="G45:M45" si="14">SUBTOTAL(9,G43:G44)</f>
        <v>0</v>
      </c>
      <c r="H45" s="17">
        <f t="shared" si="14"/>
        <v>158.16</v>
      </c>
      <c r="I45" s="17">
        <f t="shared" si="14"/>
        <v>156.5</v>
      </c>
      <c r="J45" s="17">
        <f t="shared" si="14"/>
        <v>0</v>
      </c>
      <c r="K45" s="17">
        <f t="shared" si="14"/>
        <v>0</v>
      </c>
      <c r="L45" s="17">
        <f t="shared" si="14"/>
        <v>0</v>
      </c>
      <c r="M45" s="17">
        <f t="shared" si="14"/>
        <v>314.65999999999997</v>
      </c>
    </row>
    <row r="46" spans="1:17" x14ac:dyDescent="0.3">
      <c r="A46" s="10" t="s">
        <v>72</v>
      </c>
      <c r="B46" s="10" t="s">
        <v>41</v>
      </c>
      <c r="C46" s="9">
        <v>43213</v>
      </c>
      <c r="D46" s="25" t="s">
        <v>218</v>
      </c>
      <c r="E46" s="9">
        <v>43173</v>
      </c>
      <c r="F46" s="11" t="s">
        <v>75</v>
      </c>
      <c r="G46" s="11"/>
      <c r="H46" s="11"/>
      <c r="I46" s="11">
        <v>88.2</v>
      </c>
      <c r="J46" s="11"/>
      <c r="K46" s="11">
        <v>21</v>
      </c>
      <c r="L46" s="11"/>
      <c r="M46" s="11">
        <f t="shared" ref="M46" si="15">SUM(G46:L46)</f>
        <v>109.2</v>
      </c>
    </row>
    <row r="47" spans="1:17" x14ac:dyDescent="0.3">
      <c r="A47" s="12" t="s">
        <v>78</v>
      </c>
      <c r="B47" s="13" t="s">
        <v>41</v>
      </c>
      <c r="C47" s="14"/>
      <c r="D47" s="15"/>
      <c r="E47" s="16"/>
      <c r="F47" s="13"/>
      <c r="G47" s="17">
        <f t="shared" ref="G47:M47" si="16">SUBTOTAL(9,G46:G46)</f>
        <v>0</v>
      </c>
      <c r="H47" s="17">
        <f t="shared" si="16"/>
        <v>0</v>
      </c>
      <c r="I47" s="17">
        <f t="shared" si="16"/>
        <v>88.2</v>
      </c>
      <c r="J47" s="17">
        <f t="shared" si="16"/>
        <v>0</v>
      </c>
      <c r="K47" s="17">
        <f t="shared" si="16"/>
        <v>21</v>
      </c>
      <c r="L47" s="17">
        <f t="shared" si="16"/>
        <v>0</v>
      </c>
      <c r="M47" s="17">
        <f t="shared" si="16"/>
        <v>109.2</v>
      </c>
    </row>
    <row r="48" spans="1:17" x14ac:dyDescent="0.3">
      <c r="A48" s="10" t="s">
        <v>117</v>
      </c>
      <c r="B48" s="10" t="s">
        <v>41</v>
      </c>
      <c r="C48" s="26">
        <v>43195</v>
      </c>
      <c r="D48" s="26" t="s">
        <v>37</v>
      </c>
      <c r="E48" s="9">
        <v>43124</v>
      </c>
      <c r="F48" s="11" t="s">
        <v>141</v>
      </c>
      <c r="G48" s="11"/>
      <c r="H48" s="11"/>
      <c r="I48" s="11">
        <v>75.7</v>
      </c>
      <c r="J48" s="11">
        <v>0</v>
      </c>
      <c r="K48" s="11"/>
      <c r="L48" s="11"/>
      <c r="M48" s="11">
        <f>SUM(G48:L48)</f>
        <v>75.7</v>
      </c>
    </row>
    <row r="49" spans="1:18" x14ac:dyDescent="0.3">
      <c r="A49" s="10" t="s">
        <v>117</v>
      </c>
      <c r="B49" s="10" t="s">
        <v>41</v>
      </c>
      <c r="C49" s="26">
        <v>43255</v>
      </c>
      <c r="D49" s="26" t="s">
        <v>37</v>
      </c>
      <c r="E49" s="9">
        <v>43229</v>
      </c>
      <c r="F49" s="11" t="s">
        <v>141</v>
      </c>
      <c r="G49" s="11"/>
      <c r="H49" s="11"/>
      <c r="I49" s="11">
        <v>75.7</v>
      </c>
      <c r="J49" s="11">
        <v>5.7</v>
      </c>
      <c r="K49" s="11"/>
      <c r="L49" s="11">
        <v>0</v>
      </c>
      <c r="M49" s="11">
        <f t="shared" ref="M49:M55" si="17">SUM(G49:L49)</f>
        <v>81.400000000000006</v>
      </c>
    </row>
    <row r="50" spans="1:18" x14ac:dyDescent="0.3">
      <c r="A50" s="10" t="s">
        <v>117</v>
      </c>
      <c r="B50" s="10" t="s">
        <v>41</v>
      </c>
      <c r="C50" s="26">
        <v>43213</v>
      </c>
      <c r="D50" s="26" t="s">
        <v>186</v>
      </c>
      <c r="E50" s="9" t="s">
        <v>211</v>
      </c>
      <c r="F50" s="11" t="s">
        <v>141</v>
      </c>
      <c r="G50" s="11"/>
      <c r="H50" s="11"/>
      <c r="I50" s="11">
        <f>40.3+12.5</f>
        <v>52.8</v>
      </c>
      <c r="J50" s="11">
        <v>11.4</v>
      </c>
      <c r="K50" s="11">
        <f>102.5+7.25</f>
        <v>109.75</v>
      </c>
      <c r="L50" s="11">
        <v>0</v>
      </c>
      <c r="M50" s="11">
        <f t="shared" si="17"/>
        <v>173.95</v>
      </c>
    </row>
    <row r="51" spans="1:18" x14ac:dyDescent="0.3">
      <c r="A51" s="10" t="s">
        <v>117</v>
      </c>
      <c r="B51" s="10" t="s">
        <v>41</v>
      </c>
      <c r="C51" s="26">
        <v>43251</v>
      </c>
      <c r="D51" s="26" t="s">
        <v>219</v>
      </c>
      <c r="E51" s="9">
        <v>43235</v>
      </c>
      <c r="F51" s="11" t="s">
        <v>141</v>
      </c>
      <c r="G51" s="11"/>
      <c r="H51" s="11"/>
      <c r="I51" s="11">
        <v>75.7</v>
      </c>
      <c r="J51" s="11">
        <v>5.7</v>
      </c>
      <c r="K51" s="11">
        <v>7.8</v>
      </c>
      <c r="L51" s="11"/>
      <c r="M51" s="11">
        <f t="shared" si="17"/>
        <v>89.2</v>
      </c>
    </row>
    <row r="52" spans="1:18" x14ac:dyDescent="0.3">
      <c r="A52" s="10" t="s">
        <v>117</v>
      </c>
      <c r="B52" s="10" t="s">
        <v>41</v>
      </c>
      <c r="C52" s="26">
        <v>43213</v>
      </c>
      <c r="D52" s="26" t="s">
        <v>174</v>
      </c>
      <c r="E52" s="9">
        <v>43181</v>
      </c>
      <c r="F52" s="11" t="s">
        <v>220</v>
      </c>
      <c r="G52" s="11"/>
      <c r="H52" s="11"/>
      <c r="I52" s="11"/>
      <c r="J52" s="11"/>
      <c r="K52" s="11"/>
      <c r="L52" s="11">
        <v>24.68</v>
      </c>
      <c r="M52" s="11">
        <f t="shared" si="17"/>
        <v>24.68</v>
      </c>
    </row>
    <row r="53" spans="1:18" x14ac:dyDescent="0.3">
      <c r="A53" s="10" t="s">
        <v>117</v>
      </c>
      <c r="B53" s="10" t="s">
        <v>41</v>
      </c>
      <c r="C53" s="26">
        <v>43180</v>
      </c>
      <c r="D53" s="26" t="s">
        <v>174</v>
      </c>
      <c r="E53" s="9">
        <v>43153</v>
      </c>
      <c r="F53" s="11" t="s">
        <v>69</v>
      </c>
      <c r="G53" s="11"/>
      <c r="H53" s="11"/>
      <c r="I53" s="11"/>
      <c r="J53" s="11"/>
      <c r="K53" s="11"/>
      <c r="L53" s="11">
        <v>0</v>
      </c>
      <c r="M53" s="11">
        <f t="shared" si="17"/>
        <v>0</v>
      </c>
    </row>
    <row r="54" spans="1:18" x14ac:dyDescent="0.3">
      <c r="A54" s="10" t="s">
        <v>117</v>
      </c>
      <c r="B54" s="10" t="s">
        <v>41</v>
      </c>
      <c r="C54" s="26">
        <v>43180</v>
      </c>
      <c r="D54" s="26" t="s">
        <v>174</v>
      </c>
      <c r="E54" s="9">
        <v>43125</v>
      </c>
      <c r="F54" s="11" t="s">
        <v>69</v>
      </c>
      <c r="G54" s="11"/>
      <c r="H54" s="11"/>
      <c r="I54" s="11"/>
      <c r="J54" s="11"/>
      <c r="K54" s="11"/>
      <c r="L54" s="11">
        <v>0</v>
      </c>
      <c r="M54" s="11">
        <f t="shared" si="17"/>
        <v>0</v>
      </c>
    </row>
    <row r="55" spans="1:18" x14ac:dyDescent="0.3">
      <c r="A55" s="10" t="s">
        <v>117</v>
      </c>
      <c r="B55" s="10" t="s">
        <v>41</v>
      </c>
      <c r="C55" s="9" t="s">
        <v>200</v>
      </c>
      <c r="D55" s="26" t="s">
        <v>190</v>
      </c>
      <c r="E55" s="9">
        <v>43158</v>
      </c>
      <c r="F55" s="11" t="s">
        <v>191</v>
      </c>
      <c r="G55" s="11"/>
      <c r="H55" s="11"/>
      <c r="I55" s="11">
        <v>0</v>
      </c>
      <c r="J55" s="11">
        <v>0</v>
      </c>
      <c r="K55" s="11">
        <v>0</v>
      </c>
      <c r="L55" s="11"/>
      <c r="M55" s="11">
        <f t="shared" si="17"/>
        <v>0</v>
      </c>
    </row>
    <row r="56" spans="1:18" x14ac:dyDescent="0.3">
      <c r="A56" s="12" t="s">
        <v>120</v>
      </c>
      <c r="B56" s="13"/>
      <c r="C56" s="14"/>
      <c r="D56" s="15"/>
      <c r="E56" s="16"/>
      <c r="F56" s="13"/>
      <c r="G56" s="17">
        <f t="shared" ref="G56:L56" si="18">SUBTOTAL(9,G48:G55)</f>
        <v>0</v>
      </c>
      <c r="H56" s="17">
        <f t="shared" si="18"/>
        <v>0</v>
      </c>
      <c r="I56" s="17">
        <f>SUBTOTAL(9,I48:I55)</f>
        <v>279.89999999999998</v>
      </c>
      <c r="J56" s="17">
        <f t="shared" si="18"/>
        <v>22.8</v>
      </c>
      <c r="K56" s="17">
        <f t="shared" si="18"/>
        <v>117.55</v>
      </c>
      <c r="L56" s="17">
        <f t="shared" si="18"/>
        <v>24.68</v>
      </c>
      <c r="M56" s="17">
        <f>SUBTOTAL(9,M48:M55)</f>
        <v>444.93</v>
      </c>
    </row>
    <row r="57" spans="1:18" x14ac:dyDescent="0.3">
      <c r="A57" s="10" t="s">
        <v>81</v>
      </c>
      <c r="B57" s="10" t="s">
        <v>41</v>
      </c>
      <c r="C57" s="9">
        <v>43207</v>
      </c>
      <c r="D57" s="10" t="s">
        <v>216</v>
      </c>
      <c r="E57" s="9" t="s">
        <v>211</v>
      </c>
      <c r="F57" s="10" t="s">
        <v>31</v>
      </c>
      <c r="G57" s="11"/>
      <c r="H57" s="11"/>
      <c r="I57" s="11">
        <v>112.5</v>
      </c>
      <c r="J57" s="11">
        <v>0</v>
      </c>
      <c r="K57" s="11">
        <v>21</v>
      </c>
      <c r="L57" s="11"/>
      <c r="M57" s="11">
        <f t="shared" ref="M57" si="19">SUM(G57:L57)</f>
        <v>133.5</v>
      </c>
    </row>
    <row r="58" spans="1:18" x14ac:dyDescent="0.3">
      <c r="A58" s="10" t="s">
        <v>81</v>
      </c>
      <c r="B58" s="10" t="s">
        <v>41</v>
      </c>
      <c r="C58" s="9">
        <v>43140</v>
      </c>
      <c r="D58" s="26" t="s">
        <v>105</v>
      </c>
      <c r="E58" s="9">
        <v>43124</v>
      </c>
      <c r="F58" s="11" t="s">
        <v>83</v>
      </c>
      <c r="G58" s="11"/>
      <c r="H58" s="11"/>
      <c r="I58" s="11">
        <v>0</v>
      </c>
      <c r="J58" s="11"/>
      <c r="K58" s="11"/>
      <c r="L58" s="11"/>
      <c r="M58" s="11">
        <f t="shared" ref="M58:M59" si="20">SUM(G58:L58)</f>
        <v>0</v>
      </c>
    </row>
    <row r="59" spans="1:18" x14ac:dyDescent="0.3">
      <c r="A59" s="10" t="s">
        <v>81</v>
      </c>
      <c r="B59" s="10" t="s">
        <v>41</v>
      </c>
      <c r="C59" s="26">
        <v>43151</v>
      </c>
      <c r="D59" s="26" t="s">
        <v>193</v>
      </c>
      <c r="E59" s="9">
        <v>43131</v>
      </c>
      <c r="F59" s="11" t="s">
        <v>83</v>
      </c>
      <c r="G59" s="11"/>
      <c r="H59" s="11"/>
      <c r="I59" s="11">
        <v>0</v>
      </c>
      <c r="J59" s="11">
        <v>0</v>
      </c>
      <c r="K59" s="11"/>
      <c r="L59" s="11"/>
      <c r="M59" s="11">
        <f t="shared" si="20"/>
        <v>0</v>
      </c>
    </row>
    <row r="60" spans="1:18" x14ac:dyDescent="0.3">
      <c r="A60" s="12" t="s">
        <v>192</v>
      </c>
      <c r="B60" s="13" t="s">
        <v>41</v>
      </c>
      <c r="C60" s="14"/>
      <c r="D60" s="15"/>
      <c r="E60" s="16"/>
      <c r="F60" s="13"/>
      <c r="G60" s="17">
        <f t="shared" ref="G60:L60" si="21">SUBTOTAL(9,G57:G59)</f>
        <v>0</v>
      </c>
      <c r="H60" s="17">
        <f t="shared" si="21"/>
        <v>0</v>
      </c>
      <c r="I60" s="17">
        <f t="shared" si="21"/>
        <v>112.5</v>
      </c>
      <c r="J60" s="17">
        <f t="shared" si="21"/>
        <v>0</v>
      </c>
      <c r="K60" s="17">
        <f t="shared" si="21"/>
        <v>21</v>
      </c>
      <c r="L60" s="17">
        <f t="shared" si="21"/>
        <v>0</v>
      </c>
      <c r="M60" s="17">
        <f>SUBTOTAL(9,M57:M59)</f>
        <v>133.5</v>
      </c>
    </row>
    <row r="61" spans="1:18" ht="17.25" thickBot="1" x14ac:dyDescent="0.35">
      <c r="A61" s="29"/>
      <c r="B61" s="29"/>
      <c r="C61" s="30"/>
      <c r="D61" s="29"/>
      <c r="E61" s="29"/>
      <c r="F61" s="31"/>
      <c r="G61" s="32">
        <f>+G5+G7+G10+G25+G28+G30+G40+G42+G45+G47+G56+G60</f>
        <v>0</v>
      </c>
      <c r="H61" s="32">
        <f t="shared" ref="H61:M61" si="22">+H5+H7+H10+H25+H28+H30+H40+H42+H45+H47+H56+H60</f>
        <v>158.16</v>
      </c>
      <c r="I61" s="32">
        <f t="shared" si="22"/>
        <v>4587.9999999999991</v>
      </c>
      <c r="J61" s="32">
        <f t="shared" si="22"/>
        <v>658.49999999999989</v>
      </c>
      <c r="K61" s="32">
        <f t="shared" si="22"/>
        <v>502.32</v>
      </c>
      <c r="L61" s="32">
        <f t="shared" si="22"/>
        <v>24.68</v>
      </c>
      <c r="M61" s="32">
        <f t="shared" si="22"/>
        <v>5931.6600000000017</v>
      </c>
    </row>
    <row r="62" spans="1:18" ht="17.25" thickTop="1" x14ac:dyDescent="0.3">
      <c r="A62" s="33"/>
      <c r="B62" s="33"/>
      <c r="C62" s="34"/>
      <c r="D62" s="33"/>
      <c r="E62" s="33"/>
      <c r="F62" s="33"/>
      <c r="G62" s="35"/>
      <c r="H62" s="35"/>
      <c r="I62" s="35"/>
      <c r="J62" s="35"/>
      <c r="K62" s="35"/>
      <c r="L62" s="35"/>
      <c r="M62" s="35"/>
      <c r="O62" s="36"/>
      <c r="R62" s="37"/>
    </row>
    <row r="63" spans="1:18" x14ac:dyDescent="0.3">
      <c r="E63" s="38"/>
      <c r="F63" s="38"/>
      <c r="N63" s="36"/>
      <c r="O63" s="36"/>
    </row>
    <row r="64" spans="1:18" ht="17.25" thickBot="1" x14ac:dyDescent="0.35">
      <c r="A64" s="33"/>
      <c r="B64" s="33"/>
      <c r="C64" s="34"/>
      <c r="D64" s="33"/>
      <c r="E64" s="33"/>
      <c r="F64" s="33"/>
      <c r="G64" s="35"/>
      <c r="H64" s="35"/>
      <c r="I64" s="35"/>
      <c r="J64" s="35"/>
      <c r="K64" s="35"/>
      <c r="L64" s="35"/>
      <c r="M64" s="35"/>
      <c r="O64" s="36"/>
    </row>
    <row r="65" spans="1:14" ht="17.25" thickBot="1" x14ac:dyDescent="0.35">
      <c r="A65" s="33"/>
      <c r="B65" s="33"/>
      <c r="C65" s="33"/>
      <c r="D65" s="33"/>
      <c r="E65" s="33"/>
      <c r="F65" s="39" t="s">
        <v>86</v>
      </c>
      <c r="G65" s="40"/>
      <c r="H65" s="40"/>
      <c r="I65" s="40"/>
      <c r="J65" s="40"/>
      <c r="K65" s="40"/>
      <c r="L65" s="40"/>
      <c r="M65" s="41"/>
    </row>
    <row r="66" spans="1:14" ht="52.5" x14ac:dyDescent="0.3">
      <c r="A66" s="33"/>
      <c r="B66" s="33"/>
      <c r="C66" s="33"/>
      <c r="D66" s="33"/>
      <c r="E66" s="33"/>
      <c r="F66" s="42"/>
      <c r="G66" s="43" t="s">
        <v>7</v>
      </c>
      <c r="H66" s="44" t="s">
        <v>87</v>
      </c>
      <c r="I66" s="44" t="s">
        <v>88</v>
      </c>
      <c r="J66" s="44" t="s">
        <v>89</v>
      </c>
      <c r="K66" s="44" t="s">
        <v>11</v>
      </c>
      <c r="L66" s="44" t="s">
        <v>12</v>
      </c>
      <c r="M66" s="45" t="s">
        <v>90</v>
      </c>
    </row>
    <row r="67" spans="1:14" x14ac:dyDescent="0.3">
      <c r="A67" s="33"/>
      <c r="B67" s="33"/>
      <c r="C67" s="46"/>
      <c r="D67" s="33"/>
      <c r="E67" s="33"/>
      <c r="F67" s="47" t="s">
        <v>91</v>
      </c>
      <c r="G67" s="48">
        <f>G61-G68</f>
        <v>0</v>
      </c>
      <c r="H67" s="48">
        <f t="shared" ref="H67:M67" si="23">H61-H68</f>
        <v>158.16</v>
      </c>
      <c r="I67" s="48">
        <f t="shared" si="23"/>
        <v>4587.9999999999991</v>
      </c>
      <c r="J67" s="48">
        <f t="shared" si="23"/>
        <v>658.49999999999989</v>
      </c>
      <c r="K67" s="48">
        <f t="shared" si="23"/>
        <v>502.32</v>
      </c>
      <c r="L67" s="48">
        <f t="shared" si="23"/>
        <v>24.68</v>
      </c>
      <c r="M67" s="48">
        <f t="shared" si="23"/>
        <v>5931.6600000000017</v>
      </c>
    </row>
    <row r="68" spans="1:14" x14ac:dyDescent="0.3">
      <c r="A68" s="33"/>
      <c r="B68" s="33"/>
      <c r="C68" s="46"/>
      <c r="D68" s="33"/>
      <c r="E68" s="33"/>
      <c r="F68" s="47" t="s">
        <v>92</v>
      </c>
      <c r="G68" s="48">
        <f t="shared" ref="G68:L68" si="24">G5</f>
        <v>0</v>
      </c>
      <c r="H68" s="48">
        <f t="shared" si="24"/>
        <v>0</v>
      </c>
      <c r="I68" s="48">
        <f t="shared" si="24"/>
        <v>0</v>
      </c>
      <c r="J68" s="48">
        <f t="shared" si="24"/>
        <v>0</v>
      </c>
      <c r="K68" s="48">
        <f t="shared" si="24"/>
        <v>0</v>
      </c>
      <c r="L68" s="48">
        <f t="shared" si="24"/>
        <v>0</v>
      </c>
      <c r="M68" s="48">
        <f>SUM(G68:L68)</f>
        <v>0</v>
      </c>
    </row>
    <row r="69" spans="1:14" x14ac:dyDescent="0.3">
      <c r="A69" s="33"/>
      <c r="B69" s="33"/>
      <c r="C69" s="46"/>
      <c r="D69" s="33"/>
      <c r="E69" s="33"/>
      <c r="F69" s="49" t="s">
        <v>93</v>
      </c>
      <c r="G69" s="50">
        <f t="shared" ref="G69:L69" si="25">SUM(G67:G68)</f>
        <v>0</v>
      </c>
      <c r="H69" s="50">
        <f t="shared" si="25"/>
        <v>158.16</v>
      </c>
      <c r="I69" s="50">
        <f t="shared" si="25"/>
        <v>4587.9999999999991</v>
      </c>
      <c r="J69" s="50">
        <f t="shared" si="25"/>
        <v>658.49999999999989</v>
      </c>
      <c r="K69" s="50">
        <f t="shared" si="25"/>
        <v>502.32</v>
      </c>
      <c r="L69" s="50">
        <f t="shared" si="25"/>
        <v>24.68</v>
      </c>
      <c r="M69" s="51">
        <f>SUM(G69:L69)</f>
        <v>5931.6599999999989</v>
      </c>
      <c r="N69" s="52"/>
    </row>
    <row r="70" spans="1:14" x14ac:dyDescent="0.3">
      <c r="A70" s="33"/>
      <c r="B70" s="33"/>
      <c r="C70" s="46"/>
      <c r="D70" s="33"/>
      <c r="E70" s="33"/>
      <c r="F70" s="47" t="s">
        <v>94</v>
      </c>
      <c r="G70" s="53" t="s">
        <v>95</v>
      </c>
      <c r="H70" s="53"/>
      <c r="I70" s="53" t="s">
        <v>95</v>
      </c>
      <c r="J70" s="53" t="s">
        <v>95</v>
      </c>
      <c r="K70" s="53" t="s">
        <v>95</v>
      </c>
      <c r="L70" s="53" t="s">
        <v>95</v>
      </c>
      <c r="M70" s="48">
        <f>SUM(G70:L70)</f>
        <v>0</v>
      </c>
    </row>
    <row r="71" spans="1:14" x14ac:dyDescent="0.3">
      <c r="A71" s="33"/>
      <c r="B71" s="33"/>
      <c r="C71" s="46"/>
      <c r="D71" s="33"/>
      <c r="E71" s="33"/>
      <c r="F71" s="47" t="s">
        <v>96</v>
      </c>
      <c r="G71" s="53" t="s">
        <v>95</v>
      </c>
      <c r="H71" s="54"/>
      <c r="I71" s="53" t="s">
        <v>95</v>
      </c>
      <c r="J71" s="53" t="s">
        <v>95</v>
      </c>
      <c r="K71" s="53" t="s">
        <v>95</v>
      </c>
      <c r="L71" s="53" t="s">
        <v>95</v>
      </c>
      <c r="M71" s="48">
        <f>SUM(G71:L71)</f>
        <v>0</v>
      </c>
    </row>
    <row r="72" spans="1:14" ht="17.25" thickBot="1" x14ac:dyDescent="0.35">
      <c r="A72" s="33"/>
      <c r="B72" s="33"/>
      <c r="C72" s="46"/>
      <c r="D72" s="33"/>
      <c r="E72" s="33"/>
      <c r="F72" s="55" t="s">
        <v>97</v>
      </c>
      <c r="G72" s="56">
        <f t="shared" ref="G72:L72" si="26">SUM(G69:G71)</f>
        <v>0</v>
      </c>
      <c r="H72" s="56">
        <f t="shared" si="26"/>
        <v>158.16</v>
      </c>
      <c r="I72" s="56">
        <f t="shared" si="26"/>
        <v>4587.9999999999991</v>
      </c>
      <c r="J72" s="56">
        <f t="shared" si="26"/>
        <v>658.49999999999989</v>
      </c>
      <c r="K72" s="56">
        <f t="shared" si="26"/>
        <v>502.32</v>
      </c>
      <c r="L72" s="56">
        <f t="shared" si="26"/>
        <v>24.68</v>
      </c>
      <c r="M72" s="57">
        <f>SUM(G72:L72)</f>
        <v>5931.6599999999989</v>
      </c>
    </row>
    <row r="73" spans="1:14" x14ac:dyDescent="0.3">
      <c r="A73" s="33"/>
      <c r="B73" s="33"/>
      <c r="C73" s="33"/>
      <c r="D73" s="33"/>
      <c r="E73" s="33"/>
      <c r="F73" s="33"/>
      <c r="G73" s="35"/>
      <c r="H73" s="35"/>
      <c r="I73" s="35"/>
      <c r="J73" s="35"/>
      <c r="K73" s="35"/>
      <c r="L73" s="35"/>
      <c r="M73" s="35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548EB-DC8C-4EFD-93C8-A4872575AB4D}">
  <dimension ref="A1:R7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55" sqref="I55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223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8" t="s">
        <v>14</v>
      </c>
      <c r="B3" s="8" t="s">
        <v>15</v>
      </c>
      <c r="C3" s="9"/>
      <c r="D3" s="8" t="s">
        <v>184</v>
      </c>
      <c r="E3" s="9"/>
      <c r="F3" s="10" t="s">
        <v>162</v>
      </c>
      <c r="G3" s="11"/>
      <c r="H3" s="11"/>
      <c r="I3" s="11">
        <v>0</v>
      </c>
      <c r="J3" s="11"/>
      <c r="K3" s="11"/>
      <c r="L3" s="11"/>
      <c r="M3" s="11">
        <f>SUM(G3:L3)</f>
        <v>0</v>
      </c>
    </row>
    <row r="4" spans="1:13" x14ac:dyDescent="0.3">
      <c r="A4" s="8" t="s">
        <v>14</v>
      </c>
      <c r="B4" s="8" t="s">
        <v>15</v>
      </c>
      <c r="C4" s="9"/>
      <c r="D4" s="8" t="s">
        <v>202</v>
      </c>
      <c r="E4" s="9"/>
      <c r="F4" s="10" t="s">
        <v>201</v>
      </c>
      <c r="G4" s="11">
        <v>0</v>
      </c>
      <c r="H4" s="11"/>
      <c r="I4" s="11"/>
      <c r="J4" s="11"/>
      <c r="K4" s="11"/>
      <c r="L4" s="11"/>
      <c r="M4" s="11">
        <f t="shared" ref="M4" si="0">SUM(G4:L4)</f>
        <v>0</v>
      </c>
    </row>
    <row r="5" spans="1:13" x14ac:dyDescent="0.3">
      <c r="A5" s="12" t="s">
        <v>20</v>
      </c>
      <c r="B5" s="13" t="s">
        <v>15</v>
      </c>
      <c r="C5" s="14"/>
      <c r="D5" s="15"/>
      <c r="E5" s="16"/>
      <c r="F5" s="13"/>
      <c r="G5" s="17">
        <f t="shared" ref="G5:L5" si="1">SUBTOTAL(9,G3:G4)</f>
        <v>0</v>
      </c>
      <c r="H5" s="17">
        <f t="shared" si="1"/>
        <v>0</v>
      </c>
      <c r="I5" s="17">
        <f t="shared" si="1"/>
        <v>0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>SUBTOTAL(9,M3:M4)</f>
        <v>0</v>
      </c>
    </row>
    <row r="6" spans="1:13" x14ac:dyDescent="0.3">
      <c r="A6" s="8" t="s">
        <v>124</v>
      </c>
      <c r="B6" s="8" t="s">
        <v>165</v>
      </c>
      <c r="C6" s="9"/>
      <c r="D6" s="8" t="s">
        <v>202</v>
      </c>
      <c r="E6" s="9"/>
      <c r="F6" s="10" t="s">
        <v>25</v>
      </c>
      <c r="G6" s="11">
        <v>0</v>
      </c>
      <c r="H6" s="11"/>
      <c r="I6" s="11">
        <v>0</v>
      </c>
      <c r="J6" s="11"/>
      <c r="K6" s="11">
        <v>0</v>
      </c>
      <c r="L6" s="11"/>
      <c r="M6" s="11">
        <f>SUM(G6:L6)</f>
        <v>0</v>
      </c>
    </row>
    <row r="7" spans="1:13" x14ac:dyDescent="0.3">
      <c r="A7" s="12" t="s">
        <v>147</v>
      </c>
      <c r="B7" s="13"/>
      <c r="C7" s="14"/>
      <c r="D7" s="15"/>
      <c r="E7" s="16"/>
      <c r="F7" s="13"/>
      <c r="G7" s="17">
        <f t="shared" ref="G7:L7" si="2">SUBTOTAL(9,G6:G6)</f>
        <v>0</v>
      </c>
      <c r="H7" s="17">
        <f t="shared" si="2"/>
        <v>0</v>
      </c>
      <c r="I7" s="17">
        <f t="shared" si="2"/>
        <v>0</v>
      </c>
      <c r="J7" s="17">
        <f t="shared" si="2"/>
        <v>0</v>
      </c>
      <c r="K7" s="17">
        <f t="shared" si="2"/>
        <v>0</v>
      </c>
      <c r="L7" s="17">
        <f t="shared" si="2"/>
        <v>0</v>
      </c>
      <c r="M7" s="17">
        <f>SUBTOTAL(9,M6:M6)</f>
        <v>0</v>
      </c>
    </row>
    <row r="8" spans="1:13" x14ac:dyDescent="0.3">
      <c r="A8" s="8" t="s">
        <v>161</v>
      </c>
      <c r="B8" s="8" t="s">
        <v>167</v>
      </c>
      <c r="C8" s="9"/>
      <c r="D8" s="8" t="s">
        <v>184</v>
      </c>
      <c r="E8" s="9"/>
      <c r="F8" s="24" t="s">
        <v>162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f>SUM(G8:L8)</f>
        <v>0</v>
      </c>
    </row>
    <row r="9" spans="1:13" x14ac:dyDescent="0.3">
      <c r="A9" s="8" t="s">
        <v>161</v>
      </c>
      <c r="B9" s="8" t="s">
        <v>167</v>
      </c>
      <c r="C9" s="9"/>
      <c r="D9" s="10" t="s">
        <v>202</v>
      </c>
      <c r="E9" s="9"/>
      <c r="F9" s="24" t="s">
        <v>203</v>
      </c>
      <c r="G9" s="11"/>
      <c r="H9" s="11"/>
      <c r="I9" s="11">
        <v>0</v>
      </c>
      <c r="J9" s="11"/>
      <c r="K9" s="11"/>
      <c r="L9" s="11"/>
      <c r="M9" s="11">
        <f>SUM(G9:L9)</f>
        <v>0</v>
      </c>
    </row>
    <row r="10" spans="1:13" x14ac:dyDescent="0.3">
      <c r="A10" s="12" t="s">
        <v>160</v>
      </c>
      <c r="B10" s="13"/>
      <c r="C10" s="14"/>
      <c r="D10" s="15"/>
      <c r="E10" s="16"/>
      <c r="F10" s="13"/>
      <c r="G10" s="17">
        <f t="shared" ref="G10:L10" si="3">SUBTOTAL(9,G8:G9)</f>
        <v>0</v>
      </c>
      <c r="H10" s="17">
        <f t="shared" si="3"/>
        <v>0</v>
      </c>
      <c r="I10" s="17">
        <f t="shared" si="3"/>
        <v>0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>SUBTOTAL(9,M8:M9)</f>
        <v>0</v>
      </c>
    </row>
    <row r="11" spans="1:13" x14ac:dyDescent="0.3">
      <c r="A11" s="18" t="s">
        <v>178</v>
      </c>
      <c r="B11" s="19" t="s">
        <v>166</v>
      </c>
      <c r="C11" s="20"/>
      <c r="D11" s="21"/>
      <c r="E11" s="22"/>
      <c r="F11" s="19"/>
      <c r="G11" s="23"/>
      <c r="H11" s="23"/>
      <c r="I11" s="23"/>
      <c r="J11" s="23"/>
      <c r="K11" s="23"/>
      <c r="L11" s="23"/>
      <c r="M11" s="23"/>
    </row>
    <row r="12" spans="1:13" x14ac:dyDescent="0.3">
      <c r="A12" s="8" t="s">
        <v>28</v>
      </c>
      <c r="B12" s="8" t="s">
        <v>29</v>
      </c>
      <c r="C12" s="9">
        <v>43298</v>
      </c>
      <c r="D12" s="10" t="s">
        <v>224</v>
      </c>
      <c r="E12" s="9">
        <v>43250</v>
      </c>
      <c r="F12" s="10" t="s">
        <v>31</v>
      </c>
      <c r="G12" s="11"/>
      <c r="H12" s="11"/>
      <c r="I12" s="11">
        <v>338</v>
      </c>
      <c r="J12" s="11">
        <v>33</v>
      </c>
      <c r="K12" s="11">
        <v>4.33</v>
      </c>
      <c r="L12" s="11"/>
      <c r="M12" s="11">
        <f>SUM(G12:L12)</f>
        <v>375.33</v>
      </c>
    </row>
    <row r="13" spans="1:13" x14ac:dyDescent="0.3">
      <c r="A13" s="8" t="s">
        <v>28</v>
      </c>
      <c r="B13" s="8" t="s">
        <v>29</v>
      </c>
      <c r="C13" s="9">
        <v>43298</v>
      </c>
      <c r="D13" s="10" t="s">
        <v>37</v>
      </c>
      <c r="E13" s="9">
        <v>43277</v>
      </c>
      <c r="F13" s="10" t="s">
        <v>31</v>
      </c>
      <c r="G13" s="11"/>
      <c r="H13" s="11"/>
      <c r="I13" s="11">
        <v>212.2</v>
      </c>
      <c r="J13" s="11">
        <v>65</v>
      </c>
      <c r="K13" s="11">
        <v>2.78</v>
      </c>
      <c r="L13" s="11"/>
      <c r="M13" s="11">
        <f t="shared" ref="M13:M21" si="4">SUM(G13:L13)</f>
        <v>279.97999999999996</v>
      </c>
    </row>
    <row r="14" spans="1:13" x14ac:dyDescent="0.3">
      <c r="A14" s="8" t="s">
        <v>28</v>
      </c>
      <c r="B14" s="8" t="s">
        <v>29</v>
      </c>
      <c r="C14" s="9">
        <v>43371</v>
      </c>
      <c r="D14" s="10" t="s">
        <v>225</v>
      </c>
      <c r="E14" s="9">
        <v>43334</v>
      </c>
      <c r="F14" s="10" t="s">
        <v>31</v>
      </c>
      <c r="G14" s="11"/>
      <c r="H14" s="11"/>
      <c r="I14" s="11">
        <v>338</v>
      </c>
      <c r="J14" s="11">
        <v>41</v>
      </c>
      <c r="K14" s="11">
        <v>9.09</v>
      </c>
      <c r="L14" s="11"/>
      <c r="M14" s="11">
        <f t="shared" si="4"/>
        <v>388.09</v>
      </c>
    </row>
    <row r="15" spans="1:13" x14ac:dyDescent="0.3">
      <c r="A15" s="8" t="s">
        <v>28</v>
      </c>
      <c r="B15" s="8" t="s">
        <v>29</v>
      </c>
      <c r="C15" s="9">
        <v>43298</v>
      </c>
      <c r="D15" s="10" t="s">
        <v>226</v>
      </c>
      <c r="E15" s="9">
        <v>43201</v>
      </c>
      <c r="F15" s="10" t="s">
        <v>31</v>
      </c>
      <c r="G15" s="11"/>
      <c r="H15" s="11"/>
      <c r="I15" s="11">
        <v>212.2</v>
      </c>
      <c r="J15" s="11">
        <v>39</v>
      </c>
      <c r="K15" s="11">
        <v>1.96</v>
      </c>
      <c r="L15" s="11"/>
      <c r="M15" s="11">
        <f t="shared" si="4"/>
        <v>253.16</v>
      </c>
    </row>
    <row r="16" spans="1:13" x14ac:dyDescent="0.3">
      <c r="A16" s="10" t="s">
        <v>28</v>
      </c>
      <c r="B16" s="8" t="s">
        <v>29</v>
      </c>
      <c r="C16" s="9">
        <v>43298</v>
      </c>
      <c r="D16" s="10" t="s">
        <v>183</v>
      </c>
      <c r="E16" s="9">
        <v>43257</v>
      </c>
      <c r="F16" s="10" t="s">
        <v>31</v>
      </c>
      <c r="G16" s="11"/>
      <c r="H16" s="11"/>
      <c r="I16" s="11">
        <v>338</v>
      </c>
      <c r="J16" s="11">
        <f>16+27+2.7</f>
        <v>45.7</v>
      </c>
      <c r="K16" s="11">
        <v>2.58</v>
      </c>
      <c r="L16" s="11"/>
      <c r="M16" s="11">
        <f t="shared" si="4"/>
        <v>386.28</v>
      </c>
    </row>
    <row r="17" spans="1:13" x14ac:dyDescent="0.3">
      <c r="A17" s="10" t="s">
        <v>28</v>
      </c>
      <c r="B17" s="8" t="s">
        <v>29</v>
      </c>
      <c r="C17" s="9">
        <v>43371</v>
      </c>
      <c r="D17" s="10" t="s">
        <v>183</v>
      </c>
      <c r="E17" s="9">
        <v>43327</v>
      </c>
      <c r="F17" s="10" t="s">
        <v>213</v>
      </c>
      <c r="G17" s="11"/>
      <c r="H17" s="11"/>
      <c r="I17" s="11">
        <v>338</v>
      </c>
      <c r="J17" s="11">
        <v>43.5</v>
      </c>
      <c r="K17" s="11">
        <v>2.59</v>
      </c>
      <c r="L17" s="11"/>
      <c r="M17" s="11">
        <f t="shared" si="4"/>
        <v>384.09</v>
      </c>
    </row>
    <row r="18" spans="1:13" x14ac:dyDescent="0.3">
      <c r="A18" s="10" t="s">
        <v>28</v>
      </c>
      <c r="B18" s="8" t="s">
        <v>29</v>
      </c>
      <c r="C18" s="9">
        <v>43308</v>
      </c>
      <c r="D18" s="10" t="s">
        <v>183</v>
      </c>
      <c r="E18" s="9">
        <v>43187</v>
      </c>
      <c r="F18" s="10" t="s">
        <v>31</v>
      </c>
      <c r="G18" s="11"/>
      <c r="H18" s="11"/>
      <c r="I18" s="11">
        <v>0</v>
      </c>
      <c r="J18" s="11">
        <v>16</v>
      </c>
      <c r="K18" s="11">
        <v>0</v>
      </c>
      <c r="L18" s="11"/>
      <c r="M18" s="11">
        <f t="shared" si="4"/>
        <v>16</v>
      </c>
    </row>
    <row r="19" spans="1:13" x14ac:dyDescent="0.3">
      <c r="A19" s="10" t="s">
        <v>28</v>
      </c>
      <c r="B19" s="8" t="s">
        <v>29</v>
      </c>
      <c r="C19" s="9">
        <v>43298</v>
      </c>
      <c r="D19" s="10" t="s">
        <v>227</v>
      </c>
      <c r="E19" s="9">
        <v>43285</v>
      </c>
      <c r="F19" s="10" t="s">
        <v>31</v>
      </c>
      <c r="G19" s="11"/>
      <c r="H19" s="11"/>
      <c r="I19" s="11">
        <v>212.2</v>
      </c>
      <c r="J19" s="11">
        <v>88</v>
      </c>
      <c r="K19" s="11">
        <v>2.99</v>
      </c>
      <c r="L19" s="11"/>
      <c r="M19" s="11">
        <f t="shared" si="4"/>
        <v>303.19</v>
      </c>
    </row>
    <row r="20" spans="1:13" x14ac:dyDescent="0.3">
      <c r="A20" s="10" t="s">
        <v>28</v>
      </c>
      <c r="B20" s="8" t="s">
        <v>29</v>
      </c>
      <c r="C20" s="9">
        <v>43298</v>
      </c>
      <c r="D20" s="10" t="s">
        <v>57</v>
      </c>
      <c r="E20" s="9">
        <v>43269</v>
      </c>
      <c r="F20" s="10" t="s">
        <v>31</v>
      </c>
      <c r="G20" s="11"/>
      <c r="H20" s="11"/>
      <c r="I20" s="11">
        <v>338</v>
      </c>
      <c r="J20" s="11">
        <v>45</v>
      </c>
      <c r="K20" s="11">
        <v>9.19</v>
      </c>
      <c r="L20" s="11"/>
      <c r="M20" s="11">
        <f t="shared" si="4"/>
        <v>392.19</v>
      </c>
    </row>
    <row r="21" spans="1:13" x14ac:dyDescent="0.3">
      <c r="A21" s="10" t="s">
        <v>28</v>
      </c>
      <c r="B21" s="8" t="s">
        <v>29</v>
      </c>
      <c r="C21" s="9">
        <v>43664</v>
      </c>
      <c r="D21" s="10"/>
      <c r="E21" s="9">
        <v>43643</v>
      </c>
      <c r="F21" s="10" t="s">
        <v>264</v>
      </c>
      <c r="G21" s="11"/>
      <c r="H21" s="11"/>
      <c r="I21" s="11">
        <v>0</v>
      </c>
      <c r="J21" s="11">
        <v>0</v>
      </c>
      <c r="K21" s="11">
        <v>179.6</v>
      </c>
      <c r="L21" s="11"/>
      <c r="M21" s="11">
        <f t="shared" si="4"/>
        <v>179.6</v>
      </c>
    </row>
    <row r="22" spans="1:13" x14ac:dyDescent="0.3">
      <c r="A22" s="12" t="s">
        <v>39</v>
      </c>
      <c r="B22" s="13"/>
      <c r="C22" s="14"/>
      <c r="D22" s="15"/>
      <c r="E22" s="16"/>
      <c r="F22" s="13"/>
      <c r="G22" s="17">
        <f>SUBTOTAL(9,G12:G21)</f>
        <v>0</v>
      </c>
      <c r="H22" s="17">
        <f>SUBTOTAL(9,H12:H21)</f>
        <v>0</v>
      </c>
      <c r="I22" s="17">
        <f>SUBTOTAL(9,I12:I21)</f>
        <v>2326.6000000000004</v>
      </c>
      <c r="J22" s="17">
        <f t="shared" ref="J22:L22" si="5">SUBTOTAL(9,J12:J21)</f>
        <v>416.2</v>
      </c>
      <c r="K22" s="17">
        <f t="shared" si="5"/>
        <v>215.10999999999999</v>
      </c>
      <c r="L22" s="17">
        <f t="shared" si="5"/>
        <v>0</v>
      </c>
      <c r="M22" s="17">
        <f>SUBTOTAL(9,M12:M21)</f>
        <v>2957.91</v>
      </c>
    </row>
    <row r="23" spans="1:13" x14ac:dyDescent="0.3">
      <c r="A23" s="10" t="s">
        <v>42</v>
      </c>
      <c r="B23" s="8" t="s">
        <v>41</v>
      </c>
      <c r="C23" s="9">
        <v>43290</v>
      </c>
      <c r="D23" s="25" t="s">
        <v>128</v>
      </c>
      <c r="E23" s="9">
        <v>43263</v>
      </c>
      <c r="F23" s="25" t="s">
        <v>108</v>
      </c>
      <c r="G23" s="11"/>
      <c r="H23" s="11"/>
      <c r="I23" s="11">
        <v>0</v>
      </c>
      <c r="J23" s="11">
        <v>21.6</v>
      </c>
      <c r="K23" s="11">
        <v>2</v>
      </c>
      <c r="L23" s="11"/>
      <c r="M23" s="11">
        <f>SUM(G23:L23)</f>
        <v>23.6</v>
      </c>
    </row>
    <row r="24" spans="1:13" x14ac:dyDescent="0.3">
      <c r="A24" s="10" t="s">
        <v>42</v>
      </c>
      <c r="B24" s="8" t="s">
        <v>41</v>
      </c>
      <c r="C24" s="9">
        <v>43381</v>
      </c>
      <c r="D24" s="25" t="s">
        <v>128</v>
      </c>
      <c r="E24" s="9">
        <v>43349</v>
      </c>
      <c r="F24" s="25" t="s">
        <v>108</v>
      </c>
      <c r="G24" s="11"/>
      <c r="H24" s="11"/>
      <c r="I24" s="11">
        <v>55.1</v>
      </c>
      <c r="J24" s="11">
        <v>0</v>
      </c>
      <c r="K24" s="11">
        <v>0</v>
      </c>
      <c r="L24" s="11"/>
      <c r="M24" s="11">
        <f t="shared" ref="M24:M27" si="6">SUM(G24:L24)</f>
        <v>55.1</v>
      </c>
    </row>
    <row r="25" spans="1:13" x14ac:dyDescent="0.3">
      <c r="A25" s="10" t="s">
        <v>42</v>
      </c>
      <c r="B25" s="8" t="s">
        <v>41</v>
      </c>
      <c r="C25" s="9">
        <v>43381</v>
      </c>
      <c r="D25" s="25" t="s">
        <v>128</v>
      </c>
      <c r="E25" s="9">
        <v>43355</v>
      </c>
      <c r="F25" s="25" t="s">
        <v>108</v>
      </c>
      <c r="G25" s="11"/>
      <c r="H25" s="11"/>
      <c r="I25" s="11">
        <v>55.1</v>
      </c>
      <c r="J25" s="11">
        <v>0</v>
      </c>
      <c r="K25" s="11">
        <v>0</v>
      </c>
      <c r="L25" s="11"/>
      <c r="M25" s="11">
        <f t="shared" si="6"/>
        <v>55.1</v>
      </c>
    </row>
    <row r="26" spans="1:13" x14ac:dyDescent="0.3">
      <c r="A26" s="10" t="s">
        <v>42</v>
      </c>
      <c r="B26" s="8" t="s">
        <v>41</v>
      </c>
      <c r="C26" s="9"/>
      <c r="D26" s="25" t="s">
        <v>128</v>
      </c>
      <c r="E26" s="9">
        <v>43278</v>
      </c>
      <c r="F26" s="25" t="s">
        <v>108</v>
      </c>
      <c r="G26" s="11"/>
      <c r="H26" s="11"/>
      <c r="I26" s="11">
        <v>-49.4</v>
      </c>
      <c r="J26" s="11">
        <v>0</v>
      </c>
      <c r="K26" s="11">
        <v>0</v>
      </c>
      <c r="L26" s="11"/>
      <c r="M26" s="11">
        <f t="shared" si="6"/>
        <v>-49.4</v>
      </c>
    </row>
    <row r="27" spans="1:13" x14ac:dyDescent="0.3">
      <c r="A27" s="10" t="s">
        <v>42</v>
      </c>
      <c r="B27" s="8" t="s">
        <v>41</v>
      </c>
      <c r="C27" s="9"/>
      <c r="D27" s="25" t="s">
        <v>128</v>
      </c>
      <c r="E27" s="9">
        <v>43276</v>
      </c>
      <c r="F27" s="25" t="s">
        <v>108</v>
      </c>
      <c r="G27" s="11"/>
      <c r="H27" s="11"/>
      <c r="I27" s="11">
        <v>-19.399999999999999</v>
      </c>
      <c r="J27" s="11">
        <v>0</v>
      </c>
      <c r="K27" s="11">
        <v>0</v>
      </c>
      <c r="L27" s="11"/>
      <c r="M27" s="11">
        <f t="shared" si="6"/>
        <v>-19.399999999999999</v>
      </c>
    </row>
    <row r="28" spans="1:13" x14ac:dyDescent="0.3">
      <c r="A28" s="10" t="s">
        <v>42</v>
      </c>
      <c r="B28" s="8" t="s">
        <v>41</v>
      </c>
      <c r="C28" s="9">
        <v>43299</v>
      </c>
      <c r="D28" s="25"/>
      <c r="E28" s="9">
        <v>43278</v>
      </c>
      <c r="F28" s="25" t="s">
        <v>108</v>
      </c>
      <c r="G28" s="11"/>
      <c r="H28" s="11"/>
      <c r="I28" s="11">
        <v>140.08000000000001</v>
      </c>
      <c r="J28" s="11">
        <v>0</v>
      </c>
      <c r="K28" s="11">
        <v>0</v>
      </c>
      <c r="L28" s="11"/>
      <c r="M28" s="11">
        <f t="shared" ref="M28:M30" si="7">SUM(G28:L28)</f>
        <v>140.08000000000001</v>
      </c>
    </row>
    <row r="29" spans="1:13" x14ac:dyDescent="0.3">
      <c r="A29" s="10" t="s">
        <v>42</v>
      </c>
      <c r="B29" s="8" t="s">
        <v>41</v>
      </c>
      <c r="C29" s="9">
        <v>43299</v>
      </c>
      <c r="D29" s="25"/>
      <c r="E29" s="9">
        <v>43276</v>
      </c>
      <c r="F29" s="25" t="s">
        <v>108</v>
      </c>
      <c r="G29" s="11"/>
      <c r="H29" s="11"/>
      <c r="I29" s="11">
        <v>59.4</v>
      </c>
      <c r="J29" s="11">
        <v>0</v>
      </c>
      <c r="K29" s="11">
        <v>0</v>
      </c>
      <c r="L29" s="11"/>
      <c r="M29" s="11">
        <f t="shared" ref="M29" si="8">SUM(G29:L29)</f>
        <v>59.4</v>
      </c>
    </row>
    <row r="30" spans="1:13" x14ac:dyDescent="0.3">
      <c r="A30" s="10" t="s">
        <v>42</v>
      </c>
      <c r="B30" s="8" t="s">
        <v>41</v>
      </c>
      <c r="C30" s="9">
        <v>43299</v>
      </c>
      <c r="D30" s="25"/>
      <c r="E30" s="9">
        <v>43263</v>
      </c>
      <c r="F30" s="25" t="s">
        <v>108</v>
      </c>
      <c r="G30" s="11"/>
      <c r="H30" s="11"/>
      <c r="I30" s="11">
        <v>65.099999999999994</v>
      </c>
      <c r="J30" s="11">
        <v>0</v>
      </c>
      <c r="K30" s="11">
        <v>0</v>
      </c>
      <c r="L30" s="11"/>
      <c r="M30" s="11">
        <f t="shared" si="7"/>
        <v>65.099999999999994</v>
      </c>
    </row>
    <row r="31" spans="1:13" x14ac:dyDescent="0.3">
      <c r="A31" s="12" t="s">
        <v>50</v>
      </c>
      <c r="B31" s="13"/>
      <c r="C31" s="16"/>
      <c r="D31" s="15"/>
      <c r="E31" s="16"/>
      <c r="F31" s="13"/>
      <c r="G31" s="17">
        <f>SUBTOTAL(9,G23:G23)</f>
        <v>0</v>
      </c>
      <c r="H31" s="17">
        <f>SUBTOTAL(9,H23:H23)</f>
        <v>0</v>
      </c>
      <c r="I31" s="17">
        <f>SUM(I23:I30)</f>
        <v>305.98</v>
      </c>
      <c r="J31" s="17">
        <f>SUM(J23:J30)</f>
        <v>21.6</v>
      </c>
      <c r="K31" s="17">
        <f>SUM(K23:K30)</f>
        <v>2</v>
      </c>
      <c r="L31" s="17">
        <f t="shared" ref="L31" si="9">SUM(L23:L30)</f>
        <v>0</v>
      </c>
      <c r="M31" s="17">
        <f>SUM(M23:M30)</f>
        <v>329.58000000000004</v>
      </c>
    </row>
    <row r="32" spans="1:13" x14ac:dyDescent="0.3">
      <c r="A32" s="8" t="s">
        <v>51</v>
      </c>
      <c r="B32" s="8" t="s">
        <v>41</v>
      </c>
      <c r="C32" s="9">
        <v>43381</v>
      </c>
      <c r="D32" s="25" t="s">
        <v>186</v>
      </c>
      <c r="E32" s="9">
        <v>43370</v>
      </c>
      <c r="F32" s="24" t="s">
        <v>54</v>
      </c>
      <c r="G32" s="11"/>
      <c r="H32" s="11"/>
      <c r="I32" s="11">
        <v>56.2</v>
      </c>
      <c r="J32" s="11">
        <v>0</v>
      </c>
      <c r="K32" s="11">
        <v>0</v>
      </c>
      <c r="L32" s="11">
        <v>0</v>
      </c>
      <c r="M32" s="11">
        <f>SUM(G32:L32)</f>
        <v>56.2</v>
      </c>
    </row>
    <row r="33" spans="1:17" x14ac:dyDescent="0.3">
      <c r="A33" s="10" t="s">
        <v>51</v>
      </c>
      <c r="B33" s="8" t="s">
        <v>41</v>
      </c>
      <c r="C33" s="9">
        <v>43381</v>
      </c>
      <c r="D33" s="25" t="s">
        <v>186</v>
      </c>
      <c r="E33" s="8">
        <v>43382</v>
      </c>
      <c r="F33" s="24" t="s">
        <v>54</v>
      </c>
      <c r="G33" s="11"/>
      <c r="H33" s="11"/>
      <c r="I33" s="11">
        <v>56.2</v>
      </c>
      <c r="J33" s="11"/>
      <c r="K33" s="11">
        <v>0</v>
      </c>
      <c r="L33" s="11"/>
      <c r="M33" s="11">
        <f t="shared" ref="M33:M37" si="10">SUM(G33:L33)</f>
        <v>56.2</v>
      </c>
    </row>
    <row r="34" spans="1:17" x14ac:dyDescent="0.3">
      <c r="A34" s="10" t="s">
        <v>51</v>
      </c>
      <c r="B34" s="8" t="s">
        <v>41</v>
      </c>
      <c r="C34" s="9">
        <v>43381</v>
      </c>
      <c r="D34" s="25" t="s">
        <v>174</v>
      </c>
      <c r="E34" s="8">
        <v>43398</v>
      </c>
      <c r="F34" s="24" t="s">
        <v>54</v>
      </c>
      <c r="G34" s="11"/>
      <c r="H34" s="11"/>
      <c r="I34" s="11">
        <v>56.2</v>
      </c>
      <c r="J34" s="11"/>
      <c r="K34" s="11"/>
      <c r="L34" s="11"/>
      <c r="M34" s="11">
        <f t="shared" si="10"/>
        <v>56.2</v>
      </c>
    </row>
    <row r="35" spans="1:17" x14ac:dyDescent="0.3">
      <c r="A35" s="10" t="s">
        <v>51</v>
      </c>
      <c r="B35" s="8" t="s">
        <v>41</v>
      </c>
      <c r="C35" s="9">
        <v>43299</v>
      </c>
      <c r="D35" s="25"/>
      <c r="E35" s="8">
        <v>43286</v>
      </c>
      <c r="F35" s="24" t="s">
        <v>54</v>
      </c>
      <c r="G35" s="11"/>
      <c r="H35" s="11"/>
      <c r="I35" s="11">
        <v>57.6</v>
      </c>
      <c r="J35" s="11"/>
      <c r="K35" s="11"/>
      <c r="L35" s="11"/>
      <c r="M35" s="11">
        <f t="shared" si="10"/>
        <v>57.6</v>
      </c>
    </row>
    <row r="36" spans="1:17" x14ac:dyDescent="0.3">
      <c r="A36" s="10" t="s">
        <v>51</v>
      </c>
      <c r="B36" s="8" t="s">
        <v>41</v>
      </c>
      <c r="C36" s="9">
        <v>43299</v>
      </c>
      <c r="D36" s="25"/>
      <c r="E36" s="8">
        <v>43342</v>
      </c>
      <c r="F36" s="24" t="s">
        <v>54</v>
      </c>
      <c r="G36" s="11"/>
      <c r="H36" s="11"/>
      <c r="I36" s="11">
        <v>57.6</v>
      </c>
      <c r="J36" s="11"/>
      <c r="K36" s="11"/>
      <c r="L36" s="11"/>
      <c r="M36" s="11">
        <f t="shared" si="10"/>
        <v>57.6</v>
      </c>
    </row>
    <row r="37" spans="1:17" x14ac:dyDescent="0.3">
      <c r="A37" s="10" t="s">
        <v>51</v>
      </c>
      <c r="B37" s="8" t="s">
        <v>41</v>
      </c>
      <c r="C37" s="9">
        <v>43299</v>
      </c>
      <c r="D37" s="25"/>
      <c r="E37" s="8">
        <v>43355</v>
      </c>
      <c r="F37" s="24" t="s">
        <v>54</v>
      </c>
      <c r="G37" s="11"/>
      <c r="H37" s="11"/>
      <c r="I37" s="11">
        <v>57.6</v>
      </c>
      <c r="J37" s="11"/>
      <c r="K37" s="11"/>
      <c r="L37" s="11"/>
      <c r="M37" s="11">
        <f t="shared" si="10"/>
        <v>57.6</v>
      </c>
    </row>
    <row r="38" spans="1:17" x14ac:dyDescent="0.3">
      <c r="A38" s="12" t="s">
        <v>60</v>
      </c>
      <c r="B38" s="13"/>
      <c r="C38" s="16"/>
      <c r="D38" s="15"/>
      <c r="E38" s="16"/>
      <c r="F38" s="13"/>
      <c r="G38" s="17">
        <f>SUBTOTAL(9,G32:G37)</f>
        <v>0</v>
      </c>
      <c r="H38" s="17">
        <f>SUBTOTAL(9,H32:H37)</f>
        <v>0</v>
      </c>
      <c r="I38" s="17">
        <f>SUBTOTAL(9,I32:I37)</f>
        <v>341.40000000000003</v>
      </c>
      <c r="J38" s="17">
        <f t="shared" ref="J38:L38" si="11">SUBTOTAL(9,J32:J37)</f>
        <v>0</v>
      </c>
      <c r="K38" s="17">
        <f t="shared" si="11"/>
        <v>0</v>
      </c>
      <c r="L38" s="17">
        <f t="shared" si="11"/>
        <v>0</v>
      </c>
      <c r="M38" s="17">
        <f>SUBTOTAL(9,M32:M37)</f>
        <v>341.40000000000003</v>
      </c>
    </row>
    <row r="39" spans="1:17" x14ac:dyDescent="0.3">
      <c r="A39" s="10" t="s">
        <v>61</v>
      </c>
      <c r="B39" s="10" t="s">
        <v>41</v>
      </c>
      <c r="C39" s="26">
        <v>43368</v>
      </c>
      <c r="D39" s="25" t="s">
        <v>37</v>
      </c>
      <c r="E39" s="9">
        <v>43355</v>
      </c>
      <c r="F39" s="25" t="s">
        <v>114</v>
      </c>
      <c r="G39" s="11"/>
      <c r="H39" s="11"/>
      <c r="I39" s="11">
        <v>70.599999999999994</v>
      </c>
      <c r="J39" s="11">
        <v>6.2</v>
      </c>
      <c r="K39" s="11"/>
      <c r="L39" s="11"/>
      <c r="M39" s="11">
        <f>SUM(G39:L39)</f>
        <v>76.8</v>
      </c>
      <c r="Q39" s="27"/>
    </row>
    <row r="40" spans="1:17" x14ac:dyDescent="0.3">
      <c r="A40" s="10" t="s">
        <v>61</v>
      </c>
      <c r="B40" s="10" t="s">
        <v>41</v>
      </c>
      <c r="C40" s="26">
        <v>43290</v>
      </c>
      <c r="D40" s="25" t="s">
        <v>37</v>
      </c>
      <c r="E40" s="9">
        <v>43278</v>
      </c>
      <c r="F40" s="25" t="s">
        <v>114</v>
      </c>
      <c r="G40" s="11"/>
      <c r="H40" s="11"/>
      <c r="I40" s="11">
        <v>63.9</v>
      </c>
      <c r="J40" s="11">
        <v>25.1</v>
      </c>
      <c r="K40" s="11"/>
      <c r="L40" s="11"/>
      <c r="M40" s="11">
        <f t="shared" ref="M40:M41" si="12">SUM(G40:L40)</f>
        <v>89</v>
      </c>
      <c r="Q40" s="27"/>
    </row>
    <row r="41" spans="1:17" x14ac:dyDescent="0.3">
      <c r="A41" s="10" t="s">
        <v>61</v>
      </c>
      <c r="B41" s="10" t="s">
        <v>41</v>
      </c>
      <c r="C41" s="26">
        <v>43308</v>
      </c>
      <c r="D41" s="25" t="s">
        <v>76</v>
      </c>
      <c r="E41" s="9">
        <v>43293</v>
      </c>
      <c r="F41" s="25" t="s">
        <v>114</v>
      </c>
      <c r="G41" s="11"/>
      <c r="H41" s="11"/>
      <c r="I41" s="11">
        <v>31.4</v>
      </c>
      <c r="J41" s="11">
        <v>12.1</v>
      </c>
      <c r="K41" s="11"/>
      <c r="L41" s="11"/>
      <c r="M41" s="11">
        <f t="shared" si="12"/>
        <v>43.5</v>
      </c>
      <c r="Q41" s="27"/>
    </row>
    <row r="42" spans="1:17" x14ac:dyDescent="0.3">
      <c r="A42" s="10" t="s">
        <v>61</v>
      </c>
      <c r="B42" s="10" t="s">
        <v>41</v>
      </c>
      <c r="C42" s="26">
        <v>43290</v>
      </c>
      <c r="D42" s="25" t="s">
        <v>174</v>
      </c>
      <c r="E42" s="9">
        <v>43269</v>
      </c>
      <c r="F42" s="25" t="s">
        <v>114</v>
      </c>
      <c r="G42" s="11"/>
      <c r="H42" s="11"/>
      <c r="I42" s="11">
        <v>71.3</v>
      </c>
      <c r="J42" s="11">
        <v>27</v>
      </c>
      <c r="K42" s="11"/>
      <c r="L42" s="11"/>
      <c r="M42" s="11">
        <f t="shared" ref="M42" si="13">SUM(G42:L42)</f>
        <v>98.3</v>
      </c>
      <c r="Q42" s="27"/>
    </row>
    <row r="43" spans="1:17" x14ac:dyDescent="0.3">
      <c r="A43" s="10" t="s">
        <v>61</v>
      </c>
      <c r="B43" s="10" t="s">
        <v>41</v>
      </c>
      <c r="C43" s="26">
        <v>43308</v>
      </c>
      <c r="D43" s="25" t="s">
        <v>76</v>
      </c>
      <c r="E43" s="9">
        <v>43292</v>
      </c>
      <c r="F43" s="25" t="s">
        <v>248</v>
      </c>
      <c r="G43" s="11"/>
      <c r="H43" s="11"/>
      <c r="I43" s="11">
        <v>0</v>
      </c>
      <c r="J43" s="11">
        <v>0</v>
      </c>
      <c r="K43" s="11">
        <v>189.6</v>
      </c>
      <c r="L43" s="11"/>
      <c r="M43" s="11">
        <f t="shared" ref="M43" si="14">SUM(G43:L43)</f>
        <v>189.6</v>
      </c>
      <c r="Q43" s="27"/>
    </row>
    <row r="44" spans="1:17" x14ac:dyDescent="0.3">
      <c r="A44" s="12" t="s">
        <v>64</v>
      </c>
      <c r="B44" s="13"/>
      <c r="C44" s="14"/>
      <c r="D44" s="15"/>
      <c r="E44" s="16"/>
      <c r="F44" s="13"/>
      <c r="G44" s="17">
        <f>SUBTOTAL(9,G39:G41)</f>
        <v>0</v>
      </c>
      <c r="H44" s="17">
        <f>SUBTOTAL(9,H39:H41)</f>
        <v>0</v>
      </c>
      <c r="I44" s="17">
        <f>SUBTOTAL(9,I39:I43)</f>
        <v>237.2</v>
      </c>
      <c r="J44" s="17">
        <f>SUBTOTAL(9,J39:J43)</f>
        <v>70.400000000000006</v>
      </c>
      <c r="K44" s="17">
        <f>SUBTOTAL(9,K39:K43)</f>
        <v>189.6</v>
      </c>
      <c r="L44" s="17">
        <f t="shared" ref="L44" si="15">SUBTOTAL(9,L39:L43)</f>
        <v>0</v>
      </c>
      <c r="M44" s="17">
        <f>SUBTOTAL(9,M39:M43)</f>
        <v>497.20000000000005</v>
      </c>
      <c r="Q44" s="27"/>
    </row>
    <row r="45" spans="1:17" x14ac:dyDescent="0.3">
      <c r="A45" s="18" t="s">
        <v>65</v>
      </c>
      <c r="B45" s="19" t="s">
        <v>41</v>
      </c>
      <c r="C45" s="20"/>
      <c r="D45" s="21"/>
      <c r="E45" s="28"/>
      <c r="F45" s="19"/>
      <c r="G45" s="23"/>
      <c r="H45" s="23"/>
      <c r="I45" s="23"/>
      <c r="J45" s="23"/>
      <c r="K45" s="23"/>
      <c r="L45" s="23"/>
      <c r="M45" s="23">
        <v>0</v>
      </c>
    </row>
    <row r="46" spans="1:17" x14ac:dyDescent="0.3">
      <c r="A46" s="10" t="s">
        <v>66</v>
      </c>
      <c r="B46" s="10" t="s">
        <v>41</v>
      </c>
      <c r="C46" s="26">
        <v>43312</v>
      </c>
      <c r="D46" s="25" t="s">
        <v>185</v>
      </c>
      <c r="E46" s="9">
        <v>43229</v>
      </c>
      <c r="F46" s="11" t="s">
        <v>69</v>
      </c>
      <c r="G46" s="11"/>
      <c r="H46" s="11"/>
      <c r="I46" s="11"/>
      <c r="J46" s="11">
        <v>26.15</v>
      </c>
      <c r="K46" s="11">
        <v>9.8800000000000008</v>
      </c>
      <c r="L46" s="11"/>
      <c r="M46" s="11">
        <f>SUM(G46:L46)</f>
        <v>36.03</v>
      </c>
    </row>
    <row r="47" spans="1:17" x14ac:dyDescent="0.3">
      <c r="A47" s="10" t="s">
        <v>66</v>
      </c>
      <c r="B47" s="10" t="s">
        <v>41</v>
      </c>
      <c r="C47" s="26">
        <v>43312</v>
      </c>
      <c r="D47" s="25" t="s">
        <v>174</v>
      </c>
      <c r="E47" s="9">
        <v>43269</v>
      </c>
      <c r="F47" s="11" t="s">
        <v>69</v>
      </c>
      <c r="G47" s="11"/>
      <c r="H47" s="11"/>
      <c r="I47" s="11"/>
      <c r="J47" s="11">
        <v>22.15</v>
      </c>
      <c r="K47" s="11"/>
      <c r="L47" s="11">
        <v>0</v>
      </c>
      <c r="M47" s="11">
        <f t="shared" ref="M47" si="16">SUM(G47:L47)</f>
        <v>22.15</v>
      </c>
    </row>
    <row r="48" spans="1:17" x14ac:dyDescent="0.3">
      <c r="A48" s="10" t="s">
        <v>66</v>
      </c>
      <c r="B48" s="10" t="s">
        <v>41</v>
      </c>
      <c r="C48" s="26">
        <v>43299</v>
      </c>
      <c r="D48" s="25" t="s">
        <v>174</v>
      </c>
      <c r="E48" s="9">
        <v>43269</v>
      </c>
      <c r="F48" s="11" t="s">
        <v>115</v>
      </c>
      <c r="G48" s="11"/>
      <c r="H48" s="11"/>
      <c r="I48" s="11">
        <v>351</v>
      </c>
      <c r="J48" s="11">
        <v>0</v>
      </c>
      <c r="K48" s="11"/>
      <c r="L48" s="11">
        <v>0</v>
      </c>
      <c r="M48" s="11">
        <f t="shared" ref="M48" si="17">SUM(G48:L48)</f>
        <v>351</v>
      </c>
    </row>
    <row r="49" spans="1:18" x14ac:dyDescent="0.3">
      <c r="A49" s="10" t="s">
        <v>66</v>
      </c>
      <c r="B49" s="10" t="s">
        <v>41</v>
      </c>
      <c r="C49" s="26">
        <v>43381</v>
      </c>
      <c r="D49" s="25" t="s">
        <v>174</v>
      </c>
      <c r="E49" s="9">
        <v>43355</v>
      </c>
      <c r="F49" s="11" t="s">
        <v>115</v>
      </c>
      <c r="G49" s="11"/>
      <c r="H49" s="11"/>
      <c r="I49" s="11">
        <v>326</v>
      </c>
      <c r="J49" s="11">
        <v>0</v>
      </c>
      <c r="K49" s="11"/>
      <c r="L49" s="11">
        <v>0</v>
      </c>
      <c r="M49" s="11">
        <f t="shared" ref="M49" si="18">SUM(G49:L49)</f>
        <v>326</v>
      </c>
    </row>
    <row r="50" spans="1:18" x14ac:dyDescent="0.3">
      <c r="A50" s="12" t="s">
        <v>71</v>
      </c>
      <c r="B50" s="13"/>
      <c r="C50" s="14"/>
      <c r="D50" s="15"/>
      <c r="E50" s="16"/>
      <c r="F50" s="13"/>
      <c r="G50" s="17">
        <f t="shared" ref="G50:H50" si="19">SUBTOTAL(9,G46:G47)</f>
        <v>0</v>
      </c>
      <c r="H50" s="17">
        <f t="shared" si="19"/>
        <v>0</v>
      </c>
      <c r="I50" s="17">
        <f>SUBTOTAL(9,I46:I49)</f>
        <v>677</v>
      </c>
      <c r="J50" s="17">
        <f>SUBTOTAL(9,J46:J49)</f>
        <v>48.3</v>
      </c>
      <c r="K50" s="17">
        <f>SUBTOTAL(9,K46:K49)</f>
        <v>9.8800000000000008</v>
      </c>
      <c r="L50" s="17">
        <f t="shared" ref="L50" si="20">SUBTOTAL(9,L46:L49)</f>
        <v>0</v>
      </c>
      <c r="M50" s="17">
        <f>SUBTOTAL(9,M46:M49)</f>
        <v>735.18000000000006</v>
      </c>
    </row>
    <row r="51" spans="1:18" x14ac:dyDescent="0.3">
      <c r="A51" s="10" t="s">
        <v>72</v>
      </c>
      <c r="B51" s="10" t="s">
        <v>41</v>
      </c>
      <c r="C51" s="9">
        <v>43298</v>
      </c>
      <c r="D51" s="25" t="s">
        <v>37</v>
      </c>
      <c r="E51" s="9">
        <v>43278</v>
      </c>
      <c r="F51" s="11" t="s">
        <v>75</v>
      </c>
      <c r="G51" s="11"/>
      <c r="H51" s="11"/>
      <c r="I51" s="11">
        <v>88.2</v>
      </c>
      <c r="J51" s="11"/>
      <c r="K51" s="11">
        <v>0</v>
      </c>
      <c r="L51" s="11"/>
      <c r="M51" s="11">
        <f t="shared" ref="M51:M53" si="21">SUM(G51:L51)</f>
        <v>88.2</v>
      </c>
    </row>
    <row r="52" spans="1:18" x14ac:dyDescent="0.3">
      <c r="A52" s="10" t="s">
        <v>72</v>
      </c>
      <c r="B52" s="10" t="s">
        <v>41</v>
      </c>
      <c r="C52" s="9"/>
      <c r="D52" s="26"/>
      <c r="E52" s="9"/>
      <c r="F52" s="11"/>
      <c r="G52" s="11"/>
      <c r="H52" s="11"/>
      <c r="I52" s="11">
        <v>0</v>
      </c>
      <c r="J52" s="11"/>
      <c r="K52" s="11"/>
      <c r="L52" s="11"/>
      <c r="M52" s="11">
        <f t="shared" si="21"/>
        <v>0</v>
      </c>
    </row>
    <row r="53" spans="1:18" x14ac:dyDescent="0.3">
      <c r="A53" s="10" t="s">
        <v>72</v>
      </c>
      <c r="B53" s="10" t="s">
        <v>41</v>
      </c>
      <c r="C53" s="9"/>
      <c r="D53" s="26"/>
      <c r="E53" s="9"/>
      <c r="F53" s="11"/>
      <c r="G53" s="11"/>
      <c r="H53" s="11"/>
      <c r="I53" s="11"/>
      <c r="J53" s="11"/>
      <c r="K53" s="11">
        <v>0</v>
      </c>
      <c r="L53" s="11"/>
      <c r="M53" s="11">
        <f t="shared" si="21"/>
        <v>0</v>
      </c>
    </row>
    <row r="54" spans="1:18" x14ac:dyDescent="0.3">
      <c r="A54" s="12" t="s">
        <v>78</v>
      </c>
      <c r="B54" s="13" t="s">
        <v>41</v>
      </c>
      <c r="C54" s="14"/>
      <c r="D54" s="15"/>
      <c r="E54" s="16"/>
      <c r="F54" s="13"/>
      <c r="G54" s="17">
        <f t="shared" ref="G54:L54" si="22">SUBTOTAL(9,G51:G53)</f>
        <v>0</v>
      </c>
      <c r="H54" s="17">
        <f t="shared" si="22"/>
        <v>0</v>
      </c>
      <c r="I54" s="17">
        <f>SUBTOTAL(9,I51:I53)</f>
        <v>88.2</v>
      </c>
      <c r="J54" s="17">
        <f t="shared" si="22"/>
        <v>0</v>
      </c>
      <c r="K54" s="17">
        <f t="shared" si="22"/>
        <v>0</v>
      </c>
      <c r="L54" s="17">
        <f t="shared" si="22"/>
        <v>0</v>
      </c>
      <c r="M54" s="17">
        <f>SUBTOTAL(9,M51:M53)</f>
        <v>88.2</v>
      </c>
    </row>
    <row r="55" spans="1:18" x14ac:dyDescent="0.3">
      <c r="A55" s="10" t="s">
        <v>117</v>
      </c>
      <c r="B55" s="10" t="s">
        <v>41</v>
      </c>
      <c r="C55" s="26">
        <v>43349</v>
      </c>
      <c r="D55" s="26" t="s">
        <v>37</v>
      </c>
      <c r="E55" s="9">
        <v>43278</v>
      </c>
      <c r="F55" s="11" t="s">
        <v>141</v>
      </c>
      <c r="G55" s="11"/>
      <c r="H55" s="11"/>
      <c r="I55" s="11">
        <v>49.2</v>
      </c>
      <c r="J55" s="11">
        <v>0</v>
      </c>
      <c r="K55" s="11"/>
      <c r="L55" s="11"/>
      <c r="M55" s="11">
        <f>SUM(G55:L55)</f>
        <v>49.2</v>
      </c>
    </row>
    <row r="56" spans="1:18" x14ac:dyDescent="0.3">
      <c r="A56" s="10" t="s">
        <v>117</v>
      </c>
      <c r="B56" s="10" t="s">
        <v>41</v>
      </c>
      <c r="C56" s="26">
        <v>43349</v>
      </c>
      <c r="D56" s="26" t="s">
        <v>229</v>
      </c>
      <c r="E56" s="9">
        <v>43293</v>
      </c>
      <c r="F56" s="11" t="s">
        <v>141</v>
      </c>
      <c r="G56" s="11"/>
      <c r="H56" s="11"/>
      <c r="I56" s="11">
        <v>0</v>
      </c>
      <c r="J56" s="11">
        <v>0</v>
      </c>
      <c r="K56" s="11"/>
      <c r="L56" s="11">
        <v>88.42</v>
      </c>
      <c r="M56" s="11">
        <f t="shared" ref="M56" si="23">SUM(G56:L56)</f>
        <v>88.42</v>
      </c>
    </row>
    <row r="57" spans="1:18" x14ac:dyDescent="0.3">
      <c r="A57" s="12" t="s">
        <v>120</v>
      </c>
      <c r="B57" s="13"/>
      <c r="C57" s="14"/>
      <c r="D57" s="15"/>
      <c r="E57" s="16"/>
      <c r="F57" s="13"/>
      <c r="G57" s="17">
        <f t="shared" ref="G57:M57" si="24">SUBTOTAL(9,G55:G56)</f>
        <v>0</v>
      </c>
      <c r="H57" s="17">
        <f t="shared" si="24"/>
        <v>0</v>
      </c>
      <c r="I57" s="17">
        <f t="shared" si="24"/>
        <v>49.2</v>
      </c>
      <c r="J57" s="17">
        <f t="shared" si="24"/>
        <v>0</v>
      </c>
      <c r="K57" s="17">
        <f t="shared" si="24"/>
        <v>0</v>
      </c>
      <c r="L57" s="17">
        <f t="shared" si="24"/>
        <v>88.42</v>
      </c>
      <c r="M57" s="17">
        <f t="shared" si="24"/>
        <v>137.62</v>
      </c>
    </row>
    <row r="58" spans="1:18" x14ac:dyDescent="0.3">
      <c r="A58" s="10" t="s">
        <v>81</v>
      </c>
      <c r="B58" s="10" t="s">
        <v>41</v>
      </c>
      <c r="C58" s="9">
        <v>43298</v>
      </c>
      <c r="D58" s="26" t="s">
        <v>37</v>
      </c>
      <c r="E58" s="9" t="s">
        <v>228</v>
      </c>
      <c r="F58" s="11" t="s">
        <v>83</v>
      </c>
      <c r="G58" s="11"/>
      <c r="H58" s="11"/>
      <c r="I58" s="11">
        <v>73.3</v>
      </c>
      <c r="J58" s="11">
        <v>27.7</v>
      </c>
      <c r="K58" s="11">
        <v>0</v>
      </c>
      <c r="L58" s="11"/>
      <c r="M58" s="11">
        <f t="shared" ref="M58" si="25">SUM(G58:L58)</f>
        <v>101</v>
      </c>
    </row>
    <row r="59" spans="1:18" x14ac:dyDescent="0.3">
      <c r="A59" s="10" t="s">
        <v>81</v>
      </c>
      <c r="B59" s="10" t="s">
        <v>41</v>
      </c>
      <c r="C59" s="9">
        <v>43290</v>
      </c>
      <c r="D59" s="26" t="s">
        <v>37</v>
      </c>
      <c r="E59" s="9">
        <v>43229</v>
      </c>
      <c r="F59" s="11" t="s">
        <v>83</v>
      </c>
      <c r="G59" s="11"/>
      <c r="H59" s="11"/>
      <c r="I59" s="11">
        <v>118.4</v>
      </c>
      <c r="J59" s="11">
        <v>13.65</v>
      </c>
      <c r="K59" s="11"/>
      <c r="L59" s="11"/>
      <c r="M59" s="11">
        <f t="shared" ref="M59" si="26">SUM(G59:L59)</f>
        <v>132.05000000000001</v>
      </c>
    </row>
    <row r="60" spans="1:18" x14ac:dyDescent="0.3">
      <c r="A60" s="12" t="s">
        <v>192</v>
      </c>
      <c r="B60" s="13" t="s">
        <v>41</v>
      </c>
      <c r="C60" s="14"/>
      <c r="D60" s="15"/>
      <c r="E60" s="16"/>
      <c r="F60" s="13"/>
      <c r="G60" s="17">
        <f t="shared" ref="G60:M60" si="27">SUBTOTAL(9,G58:G59)</f>
        <v>0</v>
      </c>
      <c r="H60" s="17">
        <f t="shared" si="27"/>
        <v>0</v>
      </c>
      <c r="I60" s="17">
        <f t="shared" si="27"/>
        <v>191.7</v>
      </c>
      <c r="J60" s="17">
        <f t="shared" si="27"/>
        <v>41.35</v>
      </c>
      <c r="K60" s="17">
        <f t="shared" si="27"/>
        <v>0</v>
      </c>
      <c r="L60" s="17">
        <f t="shared" si="27"/>
        <v>0</v>
      </c>
      <c r="M60" s="17">
        <f t="shared" si="27"/>
        <v>233.05</v>
      </c>
    </row>
    <row r="61" spans="1:18" ht="17.25" thickBot="1" x14ac:dyDescent="0.35">
      <c r="A61" s="29"/>
      <c r="B61" s="29"/>
      <c r="C61" s="30"/>
      <c r="D61" s="29"/>
      <c r="E61" s="29"/>
      <c r="F61" s="31"/>
      <c r="G61" s="32">
        <f>+G5+G7+G10+G22+G31+G38+G44+G50+G54+G57+G60</f>
        <v>0</v>
      </c>
      <c r="H61" s="32">
        <f t="shared" ref="H61:M61" si="28">+H5+H7+H10+H22+H31+H38+H44+H50+H54+H57+H60</f>
        <v>0</v>
      </c>
      <c r="I61" s="32">
        <f t="shared" si="28"/>
        <v>4217.28</v>
      </c>
      <c r="J61" s="32">
        <f t="shared" si="28"/>
        <v>597.85</v>
      </c>
      <c r="K61" s="32">
        <f t="shared" si="28"/>
        <v>416.59</v>
      </c>
      <c r="L61" s="32">
        <f t="shared" si="28"/>
        <v>88.42</v>
      </c>
      <c r="M61" s="32">
        <f t="shared" si="28"/>
        <v>5320.14</v>
      </c>
    </row>
    <row r="62" spans="1:18" ht="17.25" thickTop="1" x14ac:dyDescent="0.3">
      <c r="A62" s="33"/>
      <c r="B62" s="33"/>
      <c r="C62" s="34"/>
      <c r="D62" s="33"/>
      <c r="E62" s="33"/>
      <c r="F62" s="33"/>
      <c r="G62" s="35"/>
      <c r="H62" s="35"/>
      <c r="I62" s="35"/>
      <c r="J62" s="35"/>
      <c r="K62" s="35"/>
      <c r="L62" s="35"/>
      <c r="M62" s="35"/>
      <c r="O62" s="36"/>
      <c r="R62" s="37"/>
    </row>
    <row r="63" spans="1:18" x14ac:dyDescent="0.3">
      <c r="E63" s="38"/>
      <c r="F63" s="38"/>
      <c r="N63" s="36"/>
      <c r="O63" s="36"/>
    </row>
    <row r="64" spans="1:18" ht="17.25" thickBot="1" x14ac:dyDescent="0.35">
      <c r="A64" s="33"/>
      <c r="B64" s="33"/>
      <c r="C64" s="34"/>
      <c r="D64" s="33"/>
      <c r="E64" s="33"/>
      <c r="F64" s="33"/>
      <c r="G64" s="35"/>
      <c r="H64" s="35"/>
      <c r="I64" s="35"/>
      <c r="J64" s="35"/>
      <c r="K64" s="35"/>
      <c r="L64" s="35"/>
      <c r="M64" s="35"/>
      <c r="O64" s="36"/>
    </row>
    <row r="65" spans="1:14" ht="17.25" thickBot="1" x14ac:dyDescent="0.35">
      <c r="A65" s="33"/>
      <c r="B65" s="33"/>
      <c r="C65" s="33"/>
      <c r="D65" s="33"/>
      <c r="E65" s="33"/>
      <c r="F65" s="39" t="s">
        <v>86</v>
      </c>
      <c r="G65" s="40"/>
      <c r="H65" s="40"/>
      <c r="I65" s="40"/>
      <c r="J65" s="40"/>
      <c r="K65" s="40"/>
      <c r="L65" s="40"/>
      <c r="M65" s="41"/>
    </row>
    <row r="66" spans="1:14" ht="52.5" x14ac:dyDescent="0.3">
      <c r="A66" s="33"/>
      <c r="B66" s="33"/>
      <c r="C66" s="33"/>
      <c r="D66" s="33"/>
      <c r="E66" s="33"/>
      <c r="F66" s="42"/>
      <c r="G66" s="43" t="s">
        <v>7</v>
      </c>
      <c r="H66" s="44" t="s">
        <v>87</v>
      </c>
      <c r="I66" s="44" t="s">
        <v>88</v>
      </c>
      <c r="J66" s="44" t="s">
        <v>89</v>
      </c>
      <c r="K66" s="44" t="s">
        <v>11</v>
      </c>
      <c r="L66" s="44" t="s">
        <v>12</v>
      </c>
      <c r="M66" s="45" t="s">
        <v>90</v>
      </c>
    </row>
    <row r="67" spans="1:14" x14ac:dyDescent="0.3">
      <c r="A67" s="33"/>
      <c r="B67" s="33"/>
      <c r="C67" s="46"/>
      <c r="D67" s="33"/>
      <c r="E67" s="33"/>
      <c r="F67" s="47" t="s">
        <v>91</v>
      </c>
      <c r="G67" s="48">
        <f>G61-G68</f>
        <v>0</v>
      </c>
      <c r="H67" s="48">
        <f t="shared" ref="H67:M67" si="29">H61-H68</f>
        <v>0</v>
      </c>
      <c r="I67" s="48">
        <f t="shared" si="29"/>
        <v>4217.28</v>
      </c>
      <c r="J67" s="48">
        <f t="shared" si="29"/>
        <v>597.85</v>
      </c>
      <c r="K67" s="48">
        <f t="shared" si="29"/>
        <v>416.59</v>
      </c>
      <c r="L67" s="48">
        <f t="shared" si="29"/>
        <v>88.42</v>
      </c>
      <c r="M67" s="48">
        <f t="shared" si="29"/>
        <v>5320.14</v>
      </c>
    </row>
    <row r="68" spans="1:14" x14ac:dyDescent="0.3">
      <c r="A68" s="33"/>
      <c r="B68" s="33"/>
      <c r="C68" s="46"/>
      <c r="D68" s="33"/>
      <c r="E68" s="33"/>
      <c r="F68" s="47" t="s">
        <v>92</v>
      </c>
      <c r="G68" s="48">
        <f t="shared" ref="G68:L68" si="30">G5</f>
        <v>0</v>
      </c>
      <c r="H68" s="48">
        <f t="shared" si="30"/>
        <v>0</v>
      </c>
      <c r="I68" s="48">
        <f t="shared" si="30"/>
        <v>0</v>
      </c>
      <c r="J68" s="48">
        <f t="shared" si="30"/>
        <v>0</v>
      </c>
      <c r="K68" s="48">
        <f t="shared" si="30"/>
        <v>0</v>
      </c>
      <c r="L68" s="48">
        <f t="shared" si="30"/>
        <v>0</v>
      </c>
      <c r="M68" s="48">
        <f>SUM(G68:L68)</f>
        <v>0</v>
      </c>
    </row>
    <row r="69" spans="1:14" x14ac:dyDescent="0.3">
      <c r="A69" s="33"/>
      <c r="B69" s="33"/>
      <c r="C69" s="46"/>
      <c r="D69" s="33"/>
      <c r="E69" s="33"/>
      <c r="F69" s="49" t="s">
        <v>93</v>
      </c>
      <c r="G69" s="50">
        <f t="shared" ref="G69:L69" si="31">SUM(G67:G68)</f>
        <v>0</v>
      </c>
      <c r="H69" s="50">
        <f t="shared" si="31"/>
        <v>0</v>
      </c>
      <c r="I69" s="50">
        <f t="shared" si="31"/>
        <v>4217.28</v>
      </c>
      <c r="J69" s="50">
        <f t="shared" si="31"/>
        <v>597.85</v>
      </c>
      <c r="K69" s="50">
        <f t="shared" si="31"/>
        <v>416.59</v>
      </c>
      <c r="L69" s="50">
        <f t="shared" si="31"/>
        <v>88.42</v>
      </c>
      <c r="M69" s="51">
        <f>SUM(G69:L69)</f>
        <v>5320.14</v>
      </c>
      <c r="N69" s="52"/>
    </row>
    <row r="70" spans="1:14" x14ac:dyDescent="0.3">
      <c r="A70" s="33"/>
      <c r="B70" s="33"/>
      <c r="C70" s="46"/>
      <c r="D70" s="33"/>
      <c r="E70" s="33"/>
      <c r="F70" s="47" t="s">
        <v>94</v>
      </c>
      <c r="G70" s="53" t="s">
        <v>95</v>
      </c>
      <c r="H70" s="53"/>
      <c r="I70" s="53" t="s">
        <v>95</v>
      </c>
      <c r="J70" s="53" t="s">
        <v>95</v>
      </c>
      <c r="K70" s="53" t="s">
        <v>95</v>
      </c>
      <c r="L70" s="53" t="s">
        <v>95</v>
      </c>
      <c r="M70" s="48">
        <f>SUM(G70:L70)</f>
        <v>0</v>
      </c>
    </row>
    <row r="71" spans="1:14" x14ac:dyDescent="0.3">
      <c r="A71" s="33"/>
      <c r="B71" s="33"/>
      <c r="C71" s="46"/>
      <c r="D71" s="33"/>
      <c r="E71" s="33"/>
      <c r="F71" s="47" t="s">
        <v>96</v>
      </c>
      <c r="G71" s="53" t="s">
        <v>95</v>
      </c>
      <c r="H71" s="54"/>
      <c r="I71" s="53" t="s">
        <v>95</v>
      </c>
      <c r="J71" s="53" t="s">
        <v>95</v>
      </c>
      <c r="K71" s="53" t="s">
        <v>95</v>
      </c>
      <c r="L71" s="53" t="s">
        <v>95</v>
      </c>
      <c r="M71" s="48">
        <f>SUM(G71:L71)</f>
        <v>0</v>
      </c>
    </row>
    <row r="72" spans="1:14" ht="17.25" thickBot="1" x14ac:dyDescent="0.35">
      <c r="A72" s="33"/>
      <c r="B72" s="33"/>
      <c r="C72" s="46"/>
      <c r="D72" s="33"/>
      <c r="E72" s="33"/>
      <c r="F72" s="55" t="s">
        <v>97</v>
      </c>
      <c r="G72" s="56">
        <f t="shared" ref="G72:L72" si="32">SUM(G69:G71)</f>
        <v>0</v>
      </c>
      <c r="H72" s="56">
        <f t="shared" si="32"/>
        <v>0</v>
      </c>
      <c r="I72" s="56">
        <f t="shared" si="32"/>
        <v>4217.28</v>
      </c>
      <c r="J72" s="56">
        <f t="shared" si="32"/>
        <v>597.85</v>
      </c>
      <c r="K72" s="56">
        <f t="shared" si="32"/>
        <v>416.59</v>
      </c>
      <c r="L72" s="56">
        <f t="shared" si="32"/>
        <v>88.42</v>
      </c>
      <c r="M72" s="57">
        <f>SUM(G72:L72)</f>
        <v>5320.14</v>
      </c>
    </row>
    <row r="73" spans="1:14" x14ac:dyDescent="0.3">
      <c r="A73" s="33"/>
      <c r="B73" s="33"/>
      <c r="C73" s="33"/>
      <c r="D73" s="33"/>
      <c r="E73" s="33"/>
      <c r="F73" s="33"/>
      <c r="G73" s="35"/>
      <c r="H73" s="35"/>
      <c r="I73" s="35"/>
      <c r="J73" s="35"/>
      <c r="K73" s="35"/>
      <c r="L73" s="35"/>
      <c r="M73" s="35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8284A-297A-4D5B-9E5F-C36DFEED6534}">
  <dimension ref="A1:R7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20" sqref="K20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230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8" t="s">
        <v>14</v>
      </c>
      <c r="B3" s="8" t="s">
        <v>15</v>
      </c>
      <c r="C3" s="9" t="s">
        <v>199</v>
      </c>
      <c r="D3" s="8" t="s">
        <v>184</v>
      </c>
      <c r="E3" s="9">
        <v>43104</v>
      </c>
      <c r="F3" s="10" t="s">
        <v>162</v>
      </c>
      <c r="G3" s="11"/>
      <c r="H3" s="11"/>
      <c r="I3" s="11">
        <v>0</v>
      </c>
      <c r="J3" s="11"/>
      <c r="K3" s="11"/>
      <c r="L3" s="11"/>
      <c r="M3" s="11">
        <f>SUM(G3:L3)</f>
        <v>0</v>
      </c>
    </row>
    <row r="4" spans="1:13" x14ac:dyDescent="0.3">
      <c r="A4" s="8" t="s">
        <v>14</v>
      </c>
      <c r="B4" s="8" t="s">
        <v>15</v>
      </c>
      <c r="C4" s="9">
        <v>43182</v>
      </c>
      <c r="D4" s="8" t="s">
        <v>202</v>
      </c>
      <c r="E4" s="9">
        <v>43153</v>
      </c>
      <c r="F4" s="10" t="s">
        <v>201</v>
      </c>
      <c r="G4" s="11">
        <v>0</v>
      </c>
      <c r="H4" s="11"/>
      <c r="I4" s="11"/>
      <c r="J4" s="11"/>
      <c r="K4" s="11"/>
      <c r="L4" s="11"/>
      <c r="M4" s="11">
        <f t="shared" ref="M4" si="0">SUM(G4:L4)</f>
        <v>0</v>
      </c>
    </row>
    <row r="5" spans="1:13" x14ac:dyDescent="0.3">
      <c r="A5" s="12" t="s">
        <v>20</v>
      </c>
      <c r="B5" s="13" t="s">
        <v>15</v>
      </c>
      <c r="C5" s="14"/>
      <c r="D5" s="15"/>
      <c r="E5" s="16"/>
      <c r="F5" s="13"/>
      <c r="G5" s="17">
        <f t="shared" ref="G5:L5" si="1">SUBTOTAL(9,G3:G4)</f>
        <v>0</v>
      </c>
      <c r="H5" s="17">
        <f t="shared" si="1"/>
        <v>0</v>
      </c>
      <c r="I5" s="17">
        <f t="shared" si="1"/>
        <v>0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>SUBTOTAL(9,M3:M4)</f>
        <v>0</v>
      </c>
    </row>
    <row r="6" spans="1:13" x14ac:dyDescent="0.3">
      <c r="A6" s="8" t="s">
        <v>124</v>
      </c>
      <c r="B6" s="8" t="s">
        <v>165</v>
      </c>
      <c r="C6" s="9">
        <v>43153</v>
      </c>
      <c r="D6" s="8" t="s">
        <v>202</v>
      </c>
      <c r="E6" s="9">
        <v>43157</v>
      </c>
      <c r="F6" s="10" t="s">
        <v>25</v>
      </c>
      <c r="G6" s="11">
        <v>0</v>
      </c>
      <c r="H6" s="11"/>
      <c r="I6" s="11">
        <v>0</v>
      </c>
      <c r="J6" s="11"/>
      <c r="K6" s="11">
        <v>0</v>
      </c>
      <c r="L6" s="11"/>
      <c r="M6" s="11">
        <f>SUM(G6:L6)</f>
        <v>0</v>
      </c>
    </row>
    <row r="7" spans="1:13" x14ac:dyDescent="0.3">
      <c r="A7" s="12" t="s">
        <v>147</v>
      </c>
      <c r="B7" s="13"/>
      <c r="C7" s="14"/>
      <c r="D7" s="15"/>
      <c r="E7" s="16"/>
      <c r="F7" s="13"/>
      <c r="G7" s="17">
        <f t="shared" ref="G7:L7" si="2">SUBTOTAL(9,G6:G6)</f>
        <v>0</v>
      </c>
      <c r="H7" s="17">
        <f t="shared" si="2"/>
        <v>0</v>
      </c>
      <c r="I7" s="17">
        <f t="shared" si="2"/>
        <v>0</v>
      </c>
      <c r="J7" s="17">
        <f t="shared" si="2"/>
        <v>0</v>
      </c>
      <c r="K7" s="17">
        <f t="shared" si="2"/>
        <v>0</v>
      </c>
      <c r="L7" s="17">
        <f t="shared" si="2"/>
        <v>0</v>
      </c>
      <c r="M7" s="17">
        <f>SUBTOTAL(9,M6:M6)</f>
        <v>0</v>
      </c>
    </row>
    <row r="8" spans="1:13" x14ac:dyDescent="0.3">
      <c r="A8" s="8" t="s">
        <v>161</v>
      </c>
      <c r="B8" s="8" t="s">
        <v>167</v>
      </c>
      <c r="C8" s="9">
        <v>43153</v>
      </c>
      <c r="D8" s="8" t="s">
        <v>184</v>
      </c>
      <c r="E8" s="9">
        <v>43122</v>
      </c>
      <c r="F8" s="24" t="s">
        <v>162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f>SUM(G8:L8)</f>
        <v>0</v>
      </c>
    </row>
    <row r="9" spans="1:13" x14ac:dyDescent="0.3">
      <c r="A9" s="8" t="s">
        <v>161</v>
      </c>
      <c r="B9" s="8" t="s">
        <v>167</v>
      </c>
      <c r="C9" s="9">
        <v>43153</v>
      </c>
      <c r="D9" s="10" t="s">
        <v>202</v>
      </c>
      <c r="E9" s="9">
        <v>43151</v>
      </c>
      <c r="F9" s="24" t="s">
        <v>203</v>
      </c>
      <c r="G9" s="11"/>
      <c r="H9" s="11"/>
      <c r="I9" s="11">
        <v>0</v>
      </c>
      <c r="J9" s="11"/>
      <c r="K9" s="11"/>
      <c r="L9" s="11"/>
      <c r="M9" s="11">
        <f>SUM(G9:L9)</f>
        <v>0</v>
      </c>
    </row>
    <row r="10" spans="1:13" x14ac:dyDescent="0.3">
      <c r="A10" s="12" t="s">
        <v>160</v>
      </c>
      <c r="B10" s="13"/>
      <c r="C10" s="14"/>
      <c r="D10" s="15"/>
      <c r="E10" s="16"/>
      <c r="F10" s="13"/>
      <c r="G10" s="17">
        <f t="shared" ref="G10:L10" si="3">SUBTOTAL(9,G8:G9)</f>
        <v>0</v>
      </c>
      <c r="H10" s="17">
        <f t="shared" si="3"/>
        <v>0</v>
      </c>
      <c r="I10" s="17">
        <f t="shared" si="3"/>
        <v>0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>SUBTOTAL(9,M8:M9)</f>
        <v>0</v>
      </c>
    </row>
    <row r="11" spans="1:13" x14ac:dyDescent="0.3">
      <c r="A11" s="18" t="s">
        <v>178</v>
      </c>
      <c r="B11" s="19" t="s">
        <v>166</v>
      </c>
      <c r="C11" s="20"/>
      <c r="D11" s="21"/>
      <c r="E11" s="22"/>
      <c r="F11" s="19"/>
      <c r="G11" s="23"/>
      <c r="H11" s="23"/>
      <c r="I11" s="23"/>
      <c r="J11" s="23"/>
      <c r="K11" s="23"/>
      <c r="L11" s="23"/>
      <c r="M11" s="23"/>
    </row>
    <row r="12" spans="1:13" x14ac:dyDescent="0.3">
      <c r="A12" s="8" t="s">
        <v>28</v>
      </c>
      <c r="B12" s="8" t="s">
        <v>29</v>
      </c>
      <c r="C12" s="9">
        <v>43434</v>
      </c>
      <c r="D12" s="10" t="s">
        <v>225</v>
      </c>
      <c r="E12" s="9">
        <v>43369</v>
      </c>
      <c r="F12" s="10" t="s">
        <v>31</v>
      </c>
      <c r="G12" s="11"/>
      <c r="H12" s="11"/>
      <c r="I12" s="11">
        <v>338</v>
      </c>
      <c r="J12" s="11">
        <v>56</v>
      </c>
      <c r="K12" s="11">
        <v>12.79</v>
      </c>
      <c r="L12" s="11"/>
      <c r="M12" s="11">
        <f>SUM(G12:L12)</f>
        <v>406.79</v>
      </c>
    </row>
    <row r="13" spans="1:13" x14ac:dyDescent="0.3">
      <c r="A13" s="8" t="s">
        <v>28</v>
      </c>
      <c r="B13" s="8" t="s">
        <v>29</v>
      </c>
      <c r="C13" s="9">
        <v>43426</v>
      </c>
      <c r="D13" s="10" t="s">
        <v>225</v>
      </c>
      <c r="E13" s="9">
        <v>43377</v>
      </c>
      <c r="F13" s="10" t="s">
        <v>31</v>
      </c>
      <c r="G13" s="11"/>
      <c r="H13" s="11"/>
      <c r="I13" s="11">
        <v>338</v>
      </c>
      <c r="J13" s="11">
        <v>46</v>
      </c>
      <c r="K13" s="11">
        <v>0.99</v>
      </c>
      <c r="L13" s="11"/>
      <c r="M13" s="11">
        <f t="shared" ref="M13:M20" si="4">SUM(G13:L13)</f>
        <v>384.99</v>
      </c>
    </row>
    <row r="14" spans="1:13" x14ac:dyDescent="0.3">
      <c r="A14" s="8" t="s">
        <v>28</v>
      </c>
      <c r="B14" s="8" t="s">
        <v>29</v>
      </c>
      <c r="C14" s="9">
        <v>43579</v>
      </c>
      <c r="D14" s="10" t="s">
        <v>287</v>
      </c>
      <c r="E14" s="9">
        <v>43435</v>
      </c>
      <c r="F14" s="10" t="s">
        <v>31</v>
      </c>
      <c r="G14" s="11"/>
      <c r="H14" s="11"/>
      <c r="I14" s="11">
        <v>86.4</v>
      </c>
      <c r="J14" s="11">
        <v>28</v>
      </c>
      <c r="K14" s="11"/>
      <c r="L14" s="11"/>
      <c r="M14" s="11">
        <f t="shared" si="4"/>
        <v>114.4</v>
      </c>
    </row>
    <row r="15" spans="1:13" x14ac:dyDescent="0.3">
      <c r="A15" s="8" t="s">
        <v>28</v>
      </c>
      <c r="B15" s="8" t="s">
        <v>29</v>
      </c>
      <c r="C15" s="9">
        <v>43579</v>
      </c>
      <c r="D15" s="10" t="s">
        <v>288</v>
      </c>
      <c r="E15" s="9">
        <v>43439</v>
      </c>
      <c r="F15" s="10" t="s">
        <v>31</v>
      </c>
      <c r="G15" s="11"/>
      <c r="H15" s="11"/>
      <c r="I15" s="11">
        <v>212.2</v>
      </c>
      <c r="J15" s="11">
        <v>48</v>
      </c>
      <c r="K15" s="11">
        <f>140+6.17</f>
        <v>146.16999999999999</v>
      </c>
      <c r="L15" s="11"/>
      <c r="M15" s="11">
        <f t="shared" si="4"/>
        <v>406.37</v>
      </c>
    </row>
    <row r="16" spans="1:13" x14ac:dyDescent="0.3">
      <c r="A16" s="8" t="s">
        <v>28</v>
      </c>
      <c r="B16" s="8" t="s">
        <v>29</v>
      </c>
      <c r="C16" s="9">
        <v>43440</v>
      </c>
      <c r="D16" s="10" t="s">
        <v>225</v>
      </c>
      <c r="E16" s="9">
        <v>43434</v>
      </c>
      <c r="F16" s="10" t="s">
        <v>247</v>
      </c>
      <c r="G16" s="11"/>
      <c r="H16" s="11"/>
      <c r="I16" s="11">
        <v>0</v>
      </c>
      <c r="J16" s="11">
        <v>0</v>
      </c>
      <c r="K16" s="11">
        <v>201.7</v>
      </c>
      <c r="L16" s="11"/>
      <c r="M16" s="11">
        <f t="shared" ref="M16" si="5">SUM(G16:L16)</f>
        <v>201.7</v>
      </c>
    </row>
    <row r="17" spans="1:14" x14ac:dyDescent="0.3">
      <c r="A17" s="8" t="s">
        <v>28</v>
      </c>
      <c r="B17" s="8" t="s">
        <v>29</v>
      </c>
      <c r="C17" s="9">
        <v>43579</v>
      </c>
      <c r="D17" s="10" t="s">
        <v>289</v>
      </c>
      <c r="E17" s="9">
        <v>43444</v>
      </c>
      <c r="F17" s="10" t="s">
        <v>31</v>
      </c>
      <c r="G17" s="11"/>
      <c r="H17" s="11"/>
      <c r="I17" s="11">
        <v>338</v>
      </c>
      <c r="J17" s="11">
        <v>31</v>
      </c>
      <c r="K17" s="11">
        <v>4.4800000000000004</v>
      </c>
      <c r="L17" s="11"/>
      <c r="M17" s="11">
        <f t="shared" si="4"/>
        <v>373.48</v>
      </c>
    </row>
    <row r="18" spans="1:14" x14ac:dyDescent="0.3">
      <c r="A18" s="8" t="s">
        <v>28</v>
      </c>
      <c r="B18" s="8" t="s">
        <v>29</v>
      </c>
      <c r="C18" s="9">
        <v>43579</v>
      </c>
      <c r="D18" s="10" t="s">
        <v>225</v>
      </c>
      <c r="E18" s="9">
        <v>43451</v>
      </c>
      <c r="F18" s="10" t="s">
        <v>31</v>
      </c>
      <c r="G18" s="11"/>
      <c r="H18" s="11"/>
      <c r="I18" s="11">
        <v>212.2</v>
      </c>
      <c r="J18" s="11">
        <v>38</v>
      </c>
      <c r="K18" s="11">
        <v>6.3</v>
      </c>
      <c r="L18" s="11"/>
      <c r="M18" s="11">
        <f t="shared" si="4"/>
        <v>256.5</v>
      </c>
    </row>
    <row r="19" spans="1:14" x14ac:dyDescent="0.3">
      <c r="A19" s="8" t="s">
        <v>28</v>
      </c>
      <c r="B19" s="8" t="s">
        <v>29</v>
      </c>
      <c r="C19" s="9">
        <v>43579</v>
      </c>
      <c r="D19" s="10" t="s">
        <v>225</v>
      </c>
      <c r="E19" s="9">
        <v>43453</v>
      </c>
      <c r="F19" s="10" t="s">
        <v>31</v>
      </c>
      <c r="G19" s="11"/>
      <c r="H19" s="11"/>
      <c r="I19" s="11">
        <v>338</v>
      </c>
      <c r="J19" s="11">
        <v>48</v>
      </c>
      <c r="K19" s="11">
        <v>9.6199999999999992</v>
      </c>
      <c r="L19" s="11"/>
      <c r="M19" s="11">
        <f t="shared" si="4"/>
        <v>395.62</v>
      </c>
    </row>
    <row r="20" spans="1:14" x14ac:dyDescent="0.3">
      <c r="A20" s="8" t="s">
        <v>28</v>
      </c>
      <c r="B20" s="8" t="s">
        <v>29</v>
      </c>
      <c r="C20" s="9">
        <v>43579</v>
      </c>
      <c r="D20" s="10" t="s">
        <v>225</v>
      </c>
      <c r="E20" s="9">
        <v>43490</v>
      </c>
      <c r="F20" s="10" t="s">
        <v>290</v>
      </c>
      <c r="G20" s="11"/>
      <c r="H20" s="11"/>
      <c r="I20" s="11">
        <v>3.1</v>
      </c>
      <c r="J20" s="11">
        <v>22</v>
      </c>
      <c r="K20" s="11">
        <v>11.48</v>
      </c>
      <c r="L20" s="11"/>
      <c r="M20" s="11">
        <f t="shared" si="4"/>
        <v>36.58</v>
      </c>
    </row>
    <row r="21" spans="1:14" x14ac:dyDescent="0.3">
      <c r="A21" s="12" t="s">
        <v>39</v>
      </c>
      <c r="B21" s="13"/>
      <c r="C21" s="14"/>
      <c r="D21" s="15"/>
      <c r="E21" s="16"/>
      <c r="F21" s="13"/>
      <c r="G21" s="17">
        <f>SUBTOTAL(9,G12:G17)</f>
        <v>0</v>
      </c>
      <c r="H21" s="17">
        <f>SUBTOTAL(9,H12:H17)</f>
        <v>0</v>
      </c>
      <c r="I21" s="17">
        <f>SUBTOTAL(9,I12:I20)</f>
        <v>1865.8999999999999</v>
      </c>
      <c r="J21" s="17">
        <f>SUBTOTAL(9,J12:J20)</f>
        <v>317</v>
      </c>
      <c r="K21" s="17">
        <f>SUBTOTAL(9,K12:K20)</f>
        <v>393.53000000000003</v>
      </c>
      <c r="L21" s="17">
        <f t="shared" ref="L21" si="6">SUBTOTAL(9,L12:L17)</f>
        <v>0</v>
      </c>
      <c r="M21" s="17">
        <f>SUBTOTAL(9,M12:M20)</f>
        <v>2576.4299999999998</v>
      </c>
    </row>
    <row r="22" spans="1:14" x14ac:dyDescent="0.3">
      <c r="A22" s="10" t="s">
        <v>195</v>
      </c>
      <c r="B22" s="8" t="s">
        <v>41</v>
      </c>
      <c r="C22" s="9">
        <v>43447</v>
      </c>
      <c r="D22" s="10" t="s">
        <v>234</v>
      </c>
      <c r="E22" s="9">
        <v>43411</v>
      </c>
      <c r="F22" s="10" t="s">
        <v>235</v>
      </c>
      <c r="G22" s="11"/>
      <c r="H22" s="11"/>
      <c r="I22" s="11">
        <v>11.5</v>
      </c>
      <c r="J22" s="11"/>
      <c r="K22" s="11">
        <v>0</v>
      </c>
      <c r="L22" s="11"/>
      <c r="M22" s="11">
        <f t="shared" ref="M22:M23" si="7">SUM(G22:L22)</f>
        <v>11.5</v>
      </c>
    </row>
    <row r="23" spans="1:14" x14ac:dyDescent="0.3">
      <c r="A23" s="10" t="s">
        <v>195</v>
      </c>
      <c r="B23" s="8" t="s">
        <v>41</v>
      </c>
      <c r="C23" s="9">
        <v>43447</v>
      </c>
      <c r="D23" s="10" t="s">
        <v>37</v>
      </c>
      <c r="E23" s="9">
        <v>43418</v>
      </c>
      <c r="F23" s="10" t="s">
        <v>235</v>
      </c>
      <c r="G23" s="11"/>
      <c r="H23" s="11"/>
      <c r="I23" s="11">
        <v>6.8</v>
      </c>
      <c r="J23" s="11"/>
      <c r="K23" s="11"/>
      <c r="L23" s="11"/>
      <c r="M23" s="11">
        <f t="shared" si="7"/>
        <v>6.8</v>
      </c>
    </row>
    <row r="24" spans="1:14" x14ac:dyDescent="0.3">
      <c r="A24" s="10" t="s">
        <v>195</v>
      </c>
      <c r="B24" s="8" t="s">
        <v>41</v>
      </c>
      <c r="C24" s="9">
        <v>43391</v>
      </c>
      <c r="D24" s="10" t="s">
        <v>234</v>
      </c>
      <c r="E24" s="9" t="s">
        <v>236</v>
      </c>
      <c r="F24" s="10" t="s">
        <v>235</v>
      </c>
      <c r="G24" s="11"/>
      <c r="H24" s="11"/>
      <c r="I24" s="11">
        <v>14.6</v>
      </c>
      <c r="J24" s="11"/>
      <c r="K24" s="11"/>
      <c r="L24" s="11"/>
      <c r="M24" s="11">
        <f t="shared" ref="M24" si="8">SUM(G24:L24)</f>
        <v>14.6</v>
      </c>
    </row>
    <row r="25" spans="1:14" x14ac:dyDescent="0.3">
      <c r="A25" s="12" t="s">
        <v>194</v>
      </c>
      <c r="B25" s="13" t="s">
        <v>41</v>
      </c>
      <c r="C25" s="14"/>
      <c r="D25" s="15"/>
      <c r="E25" s="16"/>
      <c r="F25" s="13"/>
      <c r="G25" s="17">
        <f t="shared" ref="G25:H25" si="9">SUBTOTAL(9,G22:G22)</f>
        <v>0</v>
      </c>
      <c r="H25" s="17">
        <f t="shared" si="9"/>
        <v>0</v>
      </c>
      <c r="I25" s="17">
        <f>SUBTOTAL(9,I22:I24)</f>
        <v>32.9</v>
      </c>
      <c r="J25" s="17">
        <f t="shared" ref="J25:L25" si="10">SUBTOTAL(9,J22:J24)</f>
        <v>0</v>
      </c>
      <c r="K25" s="17">
        <f t="shared" si="10"/>
        <v>0</v>
      </c>
      <c r="L25" s="17">
        <f t="shared" si="10"/>
        <v>0</v>
      </c>
      <c r="M25" s="17">
        <f>SUBTOTAL(9,M22:M24)</f>
        <v>32.9</v>
      </c>
    </row>
    <row r="26" spans="1:14" x14ac:dyDescent="0.3">
      <c r="A26" s="10" t="s">
        <v>42</v>
      </c>
      <c r="B26" s="8" t="s">
        <v>41</v>
      </c>
      <c r="C26" s="9">
        <v>43388</v>
      </c>
      <c r="D26" s="25" t="s">
        <v>37</v>
      </c>
      <c r="E26" s="9">
        <v>43355</v>
      </c>
      <c r="F26" s="25" t="s">
        <v>108</v>
      </c>
      <c r="G26" s="11"/>
      <c r="H26" s="11"/>
      <c r="I26" s="11">
        <v>0</v>
      </c>
      <c r="J26" s="11">
        <v>25.2</v>
      </c>
      <c r="K26" s="11">
        <v>0</v>
      </c>
      <c r="L26" s="11"/>
      <c r="M26" s="11">
        <f>SUM(G26:L26)</f>
        <v>25.2</v>
      </c>
    </row>
    <row r="27" spans="1:14" x14ac:dyDescent="0.3">
      <c r="A27" s="10" t="s">
        <v>42</v>
      </c>
      <c r="B27" s="8" t="s">
        <v>41</v>
      </c>
      <c r="C27" s="9">
        <v>43778</v>
      </c>
      <c r="D27" s="25" t="s">
        <v>37</v>
      </c>
      <c r="E27" s="9">
        <v>43382</v>
      </c>
      <c r="F27" s="25" t="s">
        <v>108</v>
      </c>
      <c r="G27" s="11"/>
      <c r="H27" s="11"/>
      <c r="I27" s="11">
        <v>63.5</v>
      </c>
      <c r="J27" s="11">
        <v>0</v>
      </c>
      <c r="K27" s="11">
        <v>0</v>
      </c>
      <c r="L27" s="11"/>
      <c r="M27" s="11">
        <f>SUM(G27:L27)</f>
        <v>63.5</v>
      </c>
      <c r="N27" s="3" t="s">
        <v>245</v>
      </c>
    </row>
    <row r="28" spans="1:14" x14ac:dyDescent="0.3">
      <c r="A28" s="10" t="s">
        <v>42</v>
      </c>
      <c r="B28" s="8" t="s">
        <v>41</v>
      </c>
      <c r="C28" s="9">
        <v>43440</v>
      </c>
      <c r="D28" s="25" t="s">
        <v>37</v>
      </c>
      <c r="E28" s="9">
        <v>43418</v>
      </c>
      <c r="F28" s="25" t="s">
        <v>108</v>
      </c>
      <c r="G28" s="11"/>
      <c r="H28" s="11"/>
      <c r="I28" s="11">
        <v>69.3</v>
      </c>
      <c r="J28" s="11">
        <v>0</v>
      </c>
      <c r="K28" s="11">
        <v>0</v>
      </c>
      <c r="L28" s="11"/>
      <c r="M28" s="11">
        <f>SUM(G28:L28)</f>
        <v>69.3</v>
      </c>
      <c r="N28" s="3" t="s">
        <v>246</v>
      </c>
    </row>
    <row r="29" spans="1:14" x14ac:dyDescent="0.3">
      <c r="A29" s="10" t="s">
        <v>42</v>
      </c>
      <c r="B29" s="8" t="s">
        <v>41</v>
      </c>
      <c r="C29" s="9">
        <v>43440</v>
      </c>
      <c r="D29" s="25" t="s">
        <v>37</v>
      </c>
      <c r="E29" s="9">
        <v>43418</v>
      </c>
      <c r="F29" s="25" t="s">
        <v>108</v>
      </c>
      <c r="G29" s="11"/>
      <c r="H29" s="11"/>
      <c r="I29" s="11">
        <v>42</v>
      </c>
      <c r="J29" s="11">
        <v>0</v>
      </c>
      <c r="K29" s="11">
        <v>0</v>
      </c>
      <c r="L29" s="11"/>
      <c r="M29" s="11">
        <f>SUM(G29:L29)</f>
        <v>42</v>
      </c>
      <c r="N29" s="3" t="s">
        <v>246</v>
      </c>
    </row>
    <row r="30" spans="1:14" x14ac:dyDescent="0.3">
      <c r="A30" s="10" t="s">
        <v>42</v>
      </c>
      <c r="B30" s="8" t="s">
        <v>41</v>
      </c>
      <c r="C30" s="9">
        <v>43440</v>
      </c>
      <c r="D30" s="25" t="s">
        <v>269</v>
      </c>
      <c r="E30" s="9">
        <v>43412</v>
      </c>
      <c r="F30" s="25" t="s">
        <v>108</v>
      </c>
      <c r="G30" s="11"/>
      <c r="H30" s="11"/>
      <c r="I30" s="11">
        <v>69.3</v>
      </c>
      <c r="J30" s="11">
        <v>0</v>
      </c>
      <c r="K30" s="11">
        <v>0</v>
      </c>
      <c r="L30" s="11"/>
      <c r="M30" s="11">
        <f>SUM(G30:L30)</f>
        <v>69.3</v>
      </c>
      <c r="N30" s="3" t="s">
        <v>246</v>
      </c>
    </row>
    <row r="31" spans="1:14" x14ac:dyDescent="0.3">
      <c r="A31" s="12" t="s">
        <v>50</v>
      </c>
      <c r="B31" s="13"/>
      <c r="C31" s="16"/>
      <c r="D31" s="15"/>
      <c r="E31" s="16"/>
      <c r="F31" s="13"/>
      <c r="G31" s="17">
        <f t="shared" ref="G31:H31" si="11">SUBTOTAL(9,G26:G26)</f>
        <v>0</v>
      </c>
      <c r="H31" s="17">
        <f t="shared" si="11"/>
        <v>0</v>
      </c>
      <c r="I31" s="17">
        <f>SUM(I26:I30)</f>
        <v>244.10000000000002</v>
      </c>
      <c r="J31" s="17">
        <f t="shared" ref="J31:L31" si="12">SUM(J26:J30)</f>
        <v>25.2</v>
      </c>
      <c r="K31" s="17">
        <f t="shared" si="12"/>
        <v>0</v>
      </c>
      <c r="L31" s="17">
        <f t="shared" si="12"/>
        <v>0</v>
      </c>
      <c r="M31" s="17">
        <f>SUM(M26:M30)</f>
        <v>269.3</v>
      </c>
    </row>
    <row r="32" spans="1:14" x14ac:dyDescent="0.3">
      <c r="A32" s="10" t="s">
        <v>237</v>
      </c>
      <c r="B32" s="8" t="s">
        <v>41</v>
      </c>
      <c r="C32" s="9">
        <v>43391</v>
      </c>
      <c r="D32" s="10" t="s">
        <v>37</v>
      </c>
      <c r="E32" s="9">
        <v>43355</v>
      </c>
      <c r="F32" s="10" t="s">
        <v>239</v>
      </c>
      <c r="G32" s="11"/>
      <c r="H32" s="11"/>
      <c r="I32" s="11">
        <v>79</v>
      </c>
      <c r="J32" s="11">
        <v>33</v>
      </c>
      <c r="K32" s="11">
        <v>0</v>
      </c>
      <c r="L32" s="11"/>
      <c r="M32" s="11">
        <f t="shared" ref="M32:M33" si="13">SUM(G32:L32)</f>
        <v>112</v>
      </c>
    </row>
    <row r="33" spans="1:17" x14ac:dyDescent="0.3">
      <c r="A33" s="10" t="s">
        <v>237</v>
      </c>
      <c r="B33" s="8" t="s">
        <v>41</v>
      </c>
      <c r="C33" s="9">
        <v>43397</v>
      </c>
      <c r="D33" s="10" t="s">
        <v>240</v>
      </c>
      <c r="E33" s="9">
        <v>43700</v>
      </c>
      <c r="F33" s="10" t="s">
        <v>239</v>
      </c>
      <c r="G33" s="11"/>
      <c r="H33" s="11"/>
      <c r="I33" s="11">
        <v>76.2</v>
      </c>
      <c r="J33" s="11">
        <v>11.5</v>
      </c>
      <c r="K33" s="11">
        <v>0</v>
      </c>
      <c r="L33" s="11">
        <v>0</v>
      </c>
      <c r="M33" s="11">
        <f t="shared" si="13"/>
        <v>87.7</v>
      </c>
    </row>
    <row r="34" spans="1:17" x14ac:dyDescent="0.3">
      <c r="A34" s="12" t="s">
        <v>238</v>
      </c>
      <c r="B34" s="13" t="s">
        <v>41</v>
      </c>
      <c r="C34" s="14"/>
      <c r="D34" s="15"/>
      <c r="E34" s="16"/>
      <c r="F34" s="13"/>
      <c r="G34" s="17">
        <f>SUBTOTAL(9,G32:G32)</f>
        <v>0</v>
      </c>
      <c r="H34" s="17">
        <f>SUBTOTAL(9,H32:H32)</f>
        <v>0</v>
      </c>
      <c r="I34" s="17">
        <f>SUBTOTAL(9,I32:I33)</f>
        <v>155.19999999999999</v>
      </c>
      <c r="J34" s="17">
        <f t="shared" ref="J34:L34" si="14">SUBTOTAL(9,J32:J33)</f>
        <v>44.5</v>
      </c>
      <c r="K34" s="17">
        <f t="shared" si="14"/>
        <v>0</v>
      </c>
      <c r="L34" s="17">
        <f t="shared" si="14"/>
        <v>0</v>
      </c>
      <c r="M34" s="17">
        <f>SUBTOTAL(9,M32:M33)</f>
        <v>199.7</v>
      </c>
    </row>
    <row r="35" spans="1:17" x14ac:dyDescent="0.3">
      <c r="A35" s="10" t="s">
        <v>242</v>
      </c>
      <c r="B35" s="8" t="s">
        <v>41</v>
      </c>
      <c r="C35" s="9">
        <v>43426</v>
      </c>
      <c r="D35" s="10" t="s">
        <v>240</v>
      </c>
      <c r="E35" s="9">
        <v>43353</v>
      </c>
      <c r="F35" s="10" t="s">
        <v>244</v>
      </c>
      <c r="G35" s="11"/>
      <c r="H35" s="11"/>
      <c r="I35" s="11">
        <v>183</v>
      </c>
      <c r="J35" s="11">
        <v>15</v>
      </c>
      <c r="K35" s="11">
        <v>0</v>
      </c>
      <c r="L35" s="11"/>
      <c r="M35" s="11">
        <f t="shared" ref="M35:M37" si="15">SUM(G35:L35)</f>
        <v>198</v>
      </c>
    </row>
    <row r="36" spans="1:17" x14ac:dyDescent="0.3">
      <c r="A36" s="10" t="s">
        <v>242</v>
      </c>
      <c r="B36" s="8" t="s">
        <v>41</v>
      </c>
      <c r="C36" s="9">
        <v>43778</v>
      </c>
      <c r="D36" s="10" t="s">
        <v>37</v>
      </c>
      <c r="E36" s="9">
        <v>43411</v>
      </c>
      <c r="F36" s="10" t="s">
        <v>244</v>
      </c>
      <c r="G36" s="11"/>
      <c r="H36" s="11"/>
      <c r="I36" s="11">
        <v>278</v>
      </c>
      <c r="J36" s="11">
        <v>0</v>
      </c>
      <c r="K36" s="11">
        <v>0</v>
      </c>
      <c r="L36" s="11">
        <v>0</v>
      </c>
      <c r="M36" s="11">
        <f t="shared" si="15"/>
        <v>278</v>
      </c>
      <c r="N36" s="3" t="s">
        <v>245</v>
      </c>
    </row>
    <row r="37" spans="1:17" x14ac:dyDescent="0.3">
      <c r="A37" s="10" t="s">
        <v>242</v>
      </c>
      <c r="B37" s="8" t="s">
        <v>41</v>
      </c>
      <c r="C37" s="9">
        <v>43778</v>
      </c>
      <c r="D37" s="10" t="s">
        <v>240</v>
      </c>
      <c r="E37" s="9">
        <v>43376</v>
      </c>
      <c r="F37" s="10" t="s">
        <v>244</v>
      </c>
      <c r="G37" s="11"/>
      <c r="H37" s="11"/>
      <c r="I37" s="11">
        <v>278</v>
      </c>
      <c r="J37" s="11">
        <v>0</v>
      </c>
      <c r="K37" s="11">
        <v>0</v>
      </c>
      <c r="L37" s="11">
        <v>0</v>
      </c>
      <c r="M37" s="11">
        <f t="shared" si="15"/>
        <v>278</v>
      </c>
    </row>
    <row r="38" spans="1:17" x14ac:dyDescent="0.3">
      <c r="A38" s="10" t="s">
        <v>242</v>
      </c>
      <c r="B38" s="8" t="s">
        <v>41</v>
      </c>
      <c r="C38" s="9">
        <v>43778</v>
      </c>
      <c r="D38" s="10" t="s">
        <v>57</v>
      </c>
      <c r="E38" s="9">
        <v>43398</v>
      </c>
      <c r="F38" s="10" t="s">
        <v>244</v>
      </c>
      <c r="G38" s="11"/>
      <c r="H38" s="11"/>
      <c r="I38" s="11">
        <v>278</v>
      </c>
      <c r="J38" s="11">
        <v>0</v>
      </c>
      <c r="K38" s="11">
        <v>0</v>
      </c>
      <c r="L38" s="11">
        <v>0</v>
      </c>
      <c r="M38" s="11">
        <f t="shared" ref="M38" si="16">SUM(G38:L38)</f>
        <v>278</v>
      </c>
    </row>
    <row r="39" spans="1:17" x14ac:dyDescent="0.3">
      <c r="A39" s="12" t="s">
        <v>243</v>
      </c>
      <c r="B39" s="13" t="s">
        <v>41</v>
      </c>
      <c r="C39" s="14"/>
      <c r="D39" s="15"/>
      <c r="E39" s="16"/>
      <c r="F39" s="13"/>
      <c r="G39" s="17">
        <f t="shared" ref="G39:H39" si="17">SUBTOTAL(9,G35:G35)</f>
        <v>0</v>
      </c>
      <c r="H39" s="17">
        <f t="shared" si="17"/>
        <v>0</v>
      </c>
      <c r="I39" s="17">
        <f>SUBTOTAL(9,I35:I38)</f>
        <v>1017</v>
      </c>
      <c r="J39" s="17">
        <f t="shared" ref="J39:L39" si="18">SUBTOTAL(9,J35:J38)</f>
        <v>15</v>
      </c>
      <c r="K39" s="17">
        <f t="shared" si="18"/>
        <v>0</v>
      </c>
      <c r="L39" s="17">
        <f t="shared" si="18"/>
        <v>0</v>
      </c>
      <c r="M39" s="17">
        <f>SUBTOTAL(9,M35:M38)</f>
        <v>1032</v>
      </c>
    </row>
    <row r="40" spans="1:17" x14ac:dyDescent="0.3">
      <c r="A40" s="8" t="s">
        <v>51</v>
      </c>
      <c r="B40" s="8" t="s">
        <v>41</v>
      </c>
      <c r="C40" s="9">
        <v>43778</v>
      </c>
      <c r="D40" s="25" t="s">
        <v>186</v>
      </c>
      <c r="E40" s="9">
        <v>43411</v>
      </c>
      <c r="F40" s="24" t="s">
        <v>54</v>
      </c>
      <c r="G40" s="11"/>
      <c r="H40" s="11"/>
      <c r="I40" s="11">
        <v>56.2</v>
      </c>
      <c r="J40" s="11">
        <v>0</v>
      </c>
      <c r="K40" s="11">
        <v>0</v>
      </c>
      <c r="L40" s="11">
        <v>0</v>
      </c>
      <c r="M40" s="11">
        <f>SUM(G40:L40)</f>
        <v>56.2</v>
      </c>
      <c r="N40" s="3" t="s">
        <v>245</v>
      </c>
    </row>
    <row r="41" spans="1:17" x14ac:dyDescent="0.3">
      <c r="A41" s="10" t="s">
        <v>51</v>
      </c>
      <c r="B41" s="8" t="s">
        <v>41</v>
      </c>
      <c r="C41" s="9">
        <v>43778</v>
      </c>
      <c r="D41" s="25" t="s">
        <v>186</v>
      </c>
      <c r="E41" s="8">
        <v>43418</v>
      </c>
      <c r="F41" s="24" t="s">
        <v>54</v>
      </c>
      <c r="G41" s="11"/>
      <c r="H41" s="11"/>
      <c r="I41" s="11">
        <v>56.2</v>
      </c>
      <c r="J41" s="11"/>
      <c r="K41" s="11">
        <v>0</v>
      </c>
      <c r="L41" s="11"/>
      <c r="M41" s="11">
        <f t="shared" ref="M41:M44" si="19">SUM(G41:L41)</f>
        <v>56.2</v>
      </c>
    </row>
    <row r="42" spans="1:17" x14ac:dyDescent="0.3">
      <c r="A42" s="10" t="s">
        <v>51</v>
      </c>
      <c r="B42" s="8" t="s">
        <v>41</v>
      </c>
      <c r="C42" s="9">
        <v>43778</v>
      </c>
      <c r="D42" s="25" t="s">
        <v>174</v>
      </c>
      <c r="E42" s="8">
        <v>43433</v>
      </c>
      <c r="F42" s="24" t="s">
        <v>54</v>
      </c>
      <c r="G42" s="11"/>
      <c r="H42" s="11"/>
      <c r="I42" s="11">
        <v>56.2</v>
      </c>
      <c r="J42" s="11"/>
      <c r="K42" s="11"/>
      <c r="L42" s="11"/>
      <c r="M42" s="11">
        <f t="shared" si="19"/>
        <v>56.2</v>
      </c>
    </row>
    <row r="43" spans="1:17" x14ac:dyDescent="0.3">
      <c r="A43" s="10" t="s">
        <v>51</v>
      </c>
      <c r="B43" s="8" t="s">
        <v>41</v>
      </c>
      <c r="C43" s="9">
        <v>43778</v>
      </c>
      <c r="D43" s="25" t="s">
        <v>174</v>
      </c>
      <c r="E43" s="8">
        <v>43438</v>
      </c>
      <c r="F43" s="24" t="s">
        <v>54</v>
      </c>
      <c r="G43" s="11"/>
      <c r="H43" s="11"/>
      <c r="I43" s="11">
        <v>56.2</v>
      </c>
      <c r="J43" s="11"/>
      <c r="K43" s="11"/>
      <c r="L43" s="11"/>
      <c r="M43" s="11">
        <f t="shared" si="19"/>
        <v>56.2</v>
      </c>
    </row>
    <row r="44" spans="1:17" x14ac:dyDescent="0.3">
      <c r="A44" s="10" t="s">
        <v>51</v>
      </c>
      <c r="B44" s="8" t="s">
        <v>41</v>
      </c>
      <c r="C44" s="9">
        <v>43778</v>
      </c>
      <c r="D44" s="25" t="s">
        <v>105</v>
      </c>
      <c r="E44" s="8">
        <v>43447</v>
      </c>
      <c r="F44" s="24" t="s">
        <v>54</v>
      </c>
      <c r="G44" s="11"/>
      <c r="H44" s="11"/>
      <c r="I44" s="11">
        <v>56.2</v>
      </c>
      <c r="J44" s="11"/>
      <c r="K44" s="11"/>
      <c r="L44" s="11"/>
      <c r="M44" s="11">
        <f t="shared" si="19"/>
        <v>56.2</v>
      </c>
    </row>
    <row r="45" spans="1:17" x14ac:dyDescent="0.3">
      <c r="A45" s="12" t="s">
        <v>60</v>
      </c>
      <c r="B45" s="13"/>
      <c r="C45" s="16"/>
      <c r="D45" s="15"/>
      <c r="E45" s="16"/>
      <c r="F45" s="13"/>
      <c r="G45" s="17">
        <f t="shared" ref="G45:M45" si="20">SUBTOTAL(9,G40:G44)</f>
        <v>0</v>
      </c>
      <c r="H45" s="17">
        <f t="shared" si="20"/>
        <v>0</v>
      </c>
      <c r="I45" s="17">
        <f t="shared" si="20"/>
        <v>281</v>
      </c>
      <c r="J45" s="17">
        <f t="shared" si="20"/>
        <v>0</v>
      </c>
      <c r="K45" s="17">
        <f t="shared" si="20"/>
        <v>0</v>
      </c>
      <c r="L45" s="17">
        <f t="shared" si="20"/>
        <v>0</v>
      </c>
      <c r="M45" s="17">
        <f t="shared" si="20"/>
        <v>281</v>
      </c>
    </row>
    <row r="46" spans="1:17" x14ac:dyDescent="0.3">
      <c r="A46" s="10" t="s">
        <v>61</v>
      </c>
      <c r="B46" s="10" t="s">
        <v>41</v>
      </c>
      <c r="C46" s="26">
        <v>43424</v>
      </c>
      <c r="D46" s="25" t="s">
        <v>76</v>
      </c>
      <c r="E46" s="9">
        <v>43412</v>
      </c>
      <c r="F46" s="25" t="s">
        <v>114</v>
      </c>
      <c r="G46" s="11"/>
      <c r="H46" s="11"/>
      <c r="I46" s="11">
        <v>71.3</v>
      </c>
      <c r="J46" s="11">
        <v>6.2</v>
      </c>
      <c r="K46" s="11">
        <v>0</v>
      </c>
      <c r="L46" s="11">
        <v>0</v>
      </c>
      <c r="M46" s="11">
        <f>SUM(G46:L46)</f>
        <v>77.5</v>
      </c>
      <c r="Q46" s="27"/>
    </row>
    <row r="47" spans="1:17" x14ac:dyDescent="0.3">
      <c r="A47" s="10" t="s">
        <v>61</v>
      </c>
      <c r="B47" s="10" t="s">
        <v>41</v>
      </c>
      <c r="C47" s="26">
        <v>43395</v>
      </c>
      <c r="D47" s="25" t="s">
        <v>174</v>
      </c>
      <c r="E47" s="9">
        <v>43388</v>
      </c>
      <c r="F47" s="25" t="s">
        <v>114</v>
      </c>
      <c r="G47" s="11"/>
      <c r="H47" s="11"/>
      <c r="I47" s="11">
        <v>63.9</v>
      </c>
      <c r="J47" s="11">
        <v>5.58</v>
      </c>
      <c r="K47" s="11">
        <v>0</v>
      </c>
      <c r="L47" s="11">
        <v>0</v>
      </c>
      <c r="M47" s="11">
        <f t="shared" ref="M47" si="21">SUM(G47:L47)</f>
        <v>69.48</v>
      </c>
      <c r="Q47" s="27"/>
    </row>
    <row r="48" spans="1:17" x14ac:dyDescent="0.3">
      <c r="A48" s="12" t="s">
        <v>64</v>
      </c>
      <c r="B48" s="13"/>
      <c r="C48" s="14"/>
      <c r="D48" s="15"/>
      <c r="E48" s="16"/>
      <c r="F48" s="13"/>
      <c r="G48" s="17">
        <f t="shared" ref="G48:M48" si="22">SUBTOTAL(9,G46:G47)</f>
        <v>0</v>
      </c>
      <c r="H48" s="17">
        <f t="shared" si="22"/>
        <v>0</v>
      </c>
      <c r="I48" s="17">
        <f t="shared" si="22"/>
        <v>135.19999999999999</v>
      </c>
      <c r="J48" s="17">
        <f t="shared" si="22"/>
        <v>11.780000000000001</v>
      </c>
      <c r="K48" s="17">
        <f t="shared" si="22"/>
        <v>0</v>
      </c>
      <c r="L48" s="17">
        <f t="shared" si="22"/>
        <v>0</v>
      </c>
      <c r="M48" s="17">
        <f t="shared" si="22"/>
        <v>146.98000000000002</v>
      </c>
      <c r="Q48" s="27"/>
    </row>
    <row r="49" spans="1:14" x14ac:dyDescent="0.3">
      <c r="A49" s="10" t="s">
        <v>66</v>
      </c>
      <c r="B49" s="10" t="s">
        <v>41</v>
      </c>
      <c r="C49" s="26">
        <v>43440</v>
      </c>
      <c r="D49" s="25" t="s">
        <v>37</v>
      </c>
      <c r="E49" s="9">
        <v>43355</v>
      </c>
      <c r="F49" s="11" t="s">
        <v>69</v>
      </c>
      <c r="G49" s="11"/>
      <c r="H49" s="11">
        <v>0</v>
      </c>
      <c r="I49" s="11">
        <v>0</v>
      </c>
      <c r="J49" s="11">
        <v>17.850000000000001</v>
      </c>
      <c r="K49" s="11">
        <v>13.29</v>
      </c>
      <c r="L49" s="11">
        <v>0</v>
      </c>
      <c r="M49" s="11">
        <f>SUM(G49:L49)</f>
        <v>31.14</v>
      </c>
    </row>
    <row r="50" spans="1:14" x14ac:dyDescent="0.3">
      <c r="A50" s="10" t="s">
        <v>66</v>
      </c>
      <c r="B50" s="10" t="s">
        <v>41</v>
      </c>
      <c r="C50" s="26">
        <v>43440</v>
      </c>
      <c r="D50" s="25" t="s">
        <v>37</v>
      </c>
      <c r="E50" s="9">
        <v>43418</v>
      </c>
      <c r="F50" s="11" t="s">
        <v>69</v>
      </c>
      <c r="G50" s="11"/>
      <c r="H50" s="11"/>
      <c r="I50" s="11">
        <v>9.8000000000000007</v>
      </c>
      <c r="J50" s="11">
        <v>11</v>
      </c>
      <c r="K50" s="11">
        <v>0</v>
      </c>
      <c r="L50" s="11">
        <v>0</v>
      </c>
      <c r="M50" s="11">
        <f t="shared" ref="M50:M54" si="23">SUM(G50:L50)</f>
        <v>20.8</v>
      </c>
    </row>
    <row r="51" spans="1:14" x14ac:dyDescent="0.3">
      <c r="A51" s="10" t="s">
        <v>66</v>
      </c>
      <c r="B51" s="10" t="s">
        <v>41</v>
      </c>
      <c r="C51" s="26">
        <v>43440</v>
      </c>
      <c r="D51" s="25" t="s">
        <v>174</v>
      </c>
      <c r="E51" s="9">
        <v>43418</v>
      </c>
      <c r="F51" s="11" t="s">
        <v>69</v>
      </c>
      <c r="G51" s="11"/>
      <c r="H51" s="11"/>
      <c r="I51" s="11">
        <v>0</v>
      </c>
      <c r="J51" s="11">
        <v>18</v>
      </c>
      <c r="K51" s="11">
        <v>11.17</v>
      </c>
      <c r="L51" s="11">
        <v>0</v>
      </c>
      <c r="M51" s="11">
        <f t="shared" si="23"/>
        <v>29.17</v>
      </c>
    </row>
    <row r="52" spans="1:14" x14ac:dyDescent="0.3">
      <c r="A52" s="10" t="s">
        <v>66</v>
      </c>
      <c r="B52" s="10" t="s">
        <v>41</v>
      </c>
      <c r="C52" s="9">
        <v>43778</v>
      </c>
      <c r="D52" s="25" t="s">
        <v>37</v>
      </c>
      <c r="E52" s="9">
        <v>43387</v>
      </c>
      <c r="F52" s="11" t="s">
        <v>115</v>
      </c>
      <c r="G52" s="11"/>
      <c r="H52" s="11">
        <v>193.16</v>
      </c>
      <c r="I52" s="11">
        <v>0</v>
      </c>
      <c r="J52" s="11">
        <v>0</v>
      </c>
      <c r="K52" s="11">
        <v>0</v>
      </c>
      <c r="L52" s="11"/>
      <c r="M52" s="11">
        <f t="shared" ref="M52:M53" si="24">SUM(G52:L52)</f>
        <v>193.16</v>
      </c>
      <c r="N52" s="3" t="s">
        <v>245</v>
      </c>
    </row>
    <row r="53" spans="1:14" x14ac:dyDescent="0.3">
      <c r="A53" s="10" t="s">
        <v>66</v>
      </c>
      <c r="B53" s="10" t="s">
        <v>41</v>
      </c>
      <c r="C53" s="9">
        <v>43778</v>
      </c>
      <c r="D53" s="25" t="s">
        <v>37</v>
      </c>
      <c r="E53" s="9">
        <v>43388</v>
      </c>
      <c r="F53" s="11" t="s">
        <v>201</v>
      </c>
      <c r="G53" s="11"/>
      <c r="H53" s="11">
        <v>0</v>
      </c>
      <c r="I53" s="11">
        <v>100.2</v>
      </c>
      <c r="J53" s="11">
        <v>0</v>
      </c>
      <c r="K53" s="11">
        <v>0</v>
      </c>
      <c r="L53" s="11"/>
      <c r="M53" s="11">
        <f t="shared" si="24"/>
        <v>100.2</v>
      </c>
      <c r="N53" s="3" t="s">
        <v>245</v>
      </c>
    </row>
    <row r="54" spans="1:14" x14ac:dyDescent="0.3">
      <c r="A54" s="10" t="s">
        <v>66</v>
      </c>
      <c r="B54" s="10" t="s">
        <v>41</v>
      </c>
      <c r="C54" s="9">
        <v>43778</v>
      </c>
      <c r="D54" s="25" t="s">
        <v>174</v>
      </c>
      <c r="E54" s="9">
        <v>43417</v>
      </c>
      <c r="F54" s="11" t="s">
        <v>115</v>
      </c>
      <c r="G54" s="11"/>
      <c r="H54" s="11">
        <v>208.16</v>
      </c>
      <c r="I54" s="11">
        <v>0</v>
      </c>
      <c r="J54" s="11">
        <v>0</v>
      </c>
      <c r="K54" s="11">
        <v>0</v>
      </c>
      <c r="L54" s="11"/>
      <c r="M54" s="11">
        <f t="shared" si="23"/>
        <v>208.16</v>
      </c>
      <c r="N54" s="3" t="s">
        <v>245</v>
      </c>
    </row>
    <row r="55" spans="1:14" x14ac:dyDescent="0.3">
      <c r="A55" s="10" t="s">
        <v>66</v>
      </c>
      <c r="B55" s="10" t="s">
        <v>41</v>
      </c>
      <c r="C55" s="9">
        <v>43778</v>
      </c>
      <c r="D55" s="25" t="s">
        <v>174</v>
      </c>
      <c r="E55" s="9">
        <v>43418</v>
      </c>
      <c r="F55" s="11" t="s">
        <v>115</v>
      </c>
      <c r="G55" s="11"/>
      <c r="H55" s="11">
        <v>0</v>
      </c>
      <c r="I55" s="11">
        <v>87.5</v>
      </c>
      <c r="J55" s="11">
        <v>0</v>
      </c>
      <c r="K55" s="11">
        <v>0</v>
      </c>
      <c r="L55" s="11"/>
      <c r="M55" s="11">
        <f t="shared" ref="M55" si="25">SUM(G55:L55)</f>
        <v>87.5</v>
      </c>
      <c r="N55" s="3" t="s">
        <v>245</v>
      </c>
    </row>
    <row r="56" spans="1:14" x14ac:dyDescent="0.3">
      <c r="A56" s="12" t="s">
        <v>71</v>
      </c>
      <c r="B56" s="13"/>
      <c r="C56" s="14"/>
      <c r="D56" s="15"/>
      <c r="E56" s="16"/>
      <c r="F56" s="13"/>
      <c r="G56" s="17">
        <f t="shared" ref="G56:L56" si="26">SUBTOTAL(9,G49:G54)</f>
        <v>0</v>
      </c>
      <c r="H56" s="17">
        <f>SUBTOTAL(9,H49:H54)</f>
        <v>401.32</v>
      </c>
      <c r="I56" s="17">
        <f>SUBTOTAL(9,I49:I55)</f>
        <v>197.5</v>
      </c>
      <c r="J56" s="17">
        <f>SUBTOTAL(9,J49:J55)</f>
        <v>46.85</v>
      </c>
      <c r="K56" s="17">
        <f>SUBTOTAL(9,K49:K55)</f>
        <v>24.46</v>
      </c>
      <c r="L56" s="17">
        <f t="shared" si="26"/>
        <v>0</v>
      </c>
      <c r="M56" s="17">
        <f>SUBTOTAL(9,M49:M55)</f>
        <v>670.13</v>
      </c>
    </row>
    <row r="57" spans="1:14" x14ac:dyDescent="0.3">
      <c r="A57" s="10" t="s">
        <v>231</v>
      </c>
      <c r="B57" s="10" t="s">
        <v>41</v>
      </c>
      <c r="C57" s="9">
        <v>43447</v>
      </c>
      <c r="D57" s="26" t="s">
        <v>233</v>
      </c>
      <c r="E57" s="9">
        <v>43355</v>
      </c>
      <c r="F57" s="11" t="s">
        <v>188</v>
      </c>
      <c r="G57" s="11"/>
      <c r="H57" s="11"/>
      <c r="I57" s="11">
        <v>205.2</v>
      </c>
      <c r="J57" s="11"/>
      <c r="K57" s="11"/>
      <c r="L57" s="11"/>
      <c r="M57" s="11">
        <f>SUM(G57:L57)</f>
        <v>205.2</v>
      </c>
    </row>
    <row r="58" spans="1:14" x14ac:dyDescent="0.3">
      <c r="A58" s="12" t="s">
        <v>232</v>
      </c>
      <c r="B58" s="13"/>
      <c r="C58" s="14"/>
      <c r="D58" s="15"/>
      <c r="E58" s="16"/>
      <c r="F58" s="13"/>
      <c r="G58" s="17">
        <f t="shared" ref="G58:M58" si="27">SUBTOTAL(9,G57:G57)</f>
        <v>0</v>
      </c>
      <c r="H58" s="17">
        <f t="shared" si="27"/>
        <v>0</v>
      </c>
      <c r="I58" s="17">
        <f t="shared" si="27"/>
        <v>205.2</v>
      </c>
      <c r="J58" s="17">
        <f t="shared" si="27"/>
        <v>0</v>
      </c>
      <c r="K58" s="17">
        <f t="shared" si="27"/>
        <v>0</v>
      </c>
      <c r="L58" s="17">
        <f t="shared" si="27"/>
        <v>0</v>
      </c>
      <c r="M58" s="17">
        <f t="shared" si="27"/>
        <v>205.2</v>
      </c>
    </row>
    <row r="59" spans="1:14" x14ac:dyDescent="0.3">
      <c r="A59" s="10" t="s">
        <v>117</v>
      </c>
      <c r="B59" s="10" t="s">
        <v>41</v>
      </c>
      <c r="C59" s="26">
        <v>43448</v>
      </c>
      <c r="D59" s="26" t="s">
        <v>37</v>
      </c>
      <c r="E59" s="9">
        <v>43418</v>
      </c>
      <c r="F59" s="11" t="s">
        <v>141</v>
      </c>
      <c r="G59" s="11"/>
      <c r="H59" s="11"/>
      <c r="I59" s="11">
        <v>75.7</v>
      </c>
      <c r="J59" s="11">
        <v>5.7</v>
      </c>
      <c r="K59" s="11">
        <v>5.65</v>
      </c>
      <c r="L59" s="11"/>
      <c r="M59" s="11">
        <f>SUM(G59:L59)</f>
        <v>87.050000000000011</v>
      </c>
    </row>
    <row r="60" spans="1:14" x14ac:dyDescent="0.3">
      <c r="A60" s="10" t="s">
        <v>117</v>
      </c>
      <c r="B60" s="10" t="s">
        <v>41</v>
      </c>
      <c r="C60" s="26">
        <v>43448</v>
      </c>
      <c r="D60" s="26" t="s">
        <v>174</v>
      </c>
      <c r="E60" s="9">
        <v>43355</v>
      </c>
      <c r="F60" s="11" t="s">
        <v>141</v>
      </c>
      <c r="G60" s="11"/>
      <c r="H60" s="11"/>
      <c r="I60" s="11">
        <v>75.7</v>
      </c>
      <c r="J60" s="11">
        <v>5.7</v>
      </c>
      <c r="K60" s="11"/>
      <c r="L60" s="11">
        <v>0</v>
      </c>
      <c r="M60" s="11">
        <f t="shared" ref="M60:M64" si="28">SUM(G60:L60)</f>
        <v>81.400000000000006</v>
      </c>
    </row>
    <row r="61" spans="1:14" x14ac:dyDescent="0.3">
      <c r="A61" s="10" t="s">
        <v>117</v>
      </c>
      <c r="B61" s="10" t="s">
        <v>41</v>
      </c>
      <c r="C61" s="26">
        <v>43426</v>
      </c>
      <c r="D61" s="26" t="s">
        <v>241</v>
      </c>
      <c r="E61" s="9">
        <v>43349</v>
      </c>
      <c r="F61" s="11" t="s">
        <v>220</v>
      </c>
      <c r="G61" s="11"/>
      <c r="H61" s="11"/>
      <c r="I61" s="11">
        <v>0</v>
      </c>
      <c r="J61" s="11">
        <v>0</v>
      </c>
      <c r="K61" s="11">
        <v>0</v>
      </c>
      <c r="L61" s="11">
        <v>33.909999999999997</v>
      </c>
      <c r="M61" s="11">
        <f t="shared" si="28"/>
        <v>33.909999999999997</v>
      </c>
    </row>
    <row r="62" spans="1:14" x14ac:dyDescent="0.3">
      <c r="A62" s="10" t="s">
        <v>117</v>
      </c>
      <c r="B62" s="10" t="s">
        <v>41</v>
      </c>
      <c r="C62" s="26">
        <v>43426</v>
      </c>
      <c r="D62" s="26" t="s">
        <v>37</v>
      </c>
      <c r="E62" s="9">
        <v>43720</v>
      </c>
      <c r="F62" s="11" t="s">
        <v>141</v>
      </c>
      <c r="G62" s="11"/>
      <c r="H62" s="11"/>
      <c r="I62" s="11">
        <v>75.7</v>
      </c>
      <c r="J62" s="11">
        <v>5.7</v>
      </c>
      <c r="K62" s="11">
        <v>0</v>
      </c>
      <c r="L62" s="11"/>
      <c r="M62" s="11">
        <f t="shared" si="28"/>
        <v>81.400000000000006</v>
      </c>
    </row>
    <row r="63" spans="1:14" x14ac:dyDescent="0.3">
      <c r="A63" s="10" t="s">
        <v>117</v>
      </c>
      <c r="B63" s="10" t="s">
        <v>41</v>
      </c>
      <c r="C63" s="26">
        <v>43426</v>
      </c>
      <c r="D63" s="26" t="s">
        <v>174</v>
      </c>
      <c r="E63" s="9">
        <v>43398</v>
      </c>
      <c r="F63" s="11" t="s">
        <v>220</v>
      </c>
      <c r="G63" s="11"/>
      <c r="H63" s="11"/>
      <c r="I63" s="11"/>
      <c r="J63" s="11"/>
      <c r="K63" s="11"/>
      <c r="L63" s="11">
        <v>21.93</v>
      </c>
      <c r="M63" s="11">
        <f t="shared" si="28"/>
        <v>21.93</v>
      </c>
    </row>
    <row r="64" spans="1:14" x14ac:dyDescent="0.3">
      <c r="A64" s="10" t="s">
        <v>117</v>
      </c>
      <c r="B64" s="10" t="s">
        <v>41</v>
      </c>
      <c r="C64" s="26">
        <v>43426</v>
      </c>
      <c r="D64" s="25" t="s">
        <v>76</v>
      </c>
      <c r="E64" s="9">
        <v>43412</v>
      </c>
      <c r="F64" s="11" t="s">
        <v>141</v>
      </c>
      <c r="G64" s="11"/>
      <c r="H64" s="11"/>
      <c r="I64" s="11">
        <v>104.1</v>
      </c>
      <c r="J64" s="11"/>
      <c r="K64" s="11">
        <f>197+35.98</f>
        <v>232.98</v>
      </c>
      <c r="L64" s="11">
        <v>0</v>
      </c>
      <c r="M64" s="11">
        <f t="shared" si="28"/>
        <v>337.08</v>
      </c>
    </row>
    <row r="65" spans="1:18" x14ac:dyDescent="0.3">
      <c r="A65" s="12" t="s">
        <v>120</v>
      </c>
      <c r="B65" s="13"/>
      <c r="C65" s="14"/>
      <c r="D65" s="15"/>
      <c r="E65" s="16"/>
      <c r="F65" s="13"/>
      <c r="G65" s="17">
        <f t="shared" ref="G65:M65" si="29">SUBTOTAL(9,G59:G64)</f>
        <v>0</v>
      </c>
      <c r="H65" s="17">
        <f t="shared" si="29"/>
        <v>0</v>
      </c>
      <c r="I65" s="17">
        <f t="shared" si="29"/>
        <v>331.20000000000005</v>
      </c>
      <c r="J65" s="17">
        <f t="shared" si="29"/>
        <v>17.100000000000001</v>
      </c>
      <c r="K65" s="17">
        <f t="shared" si="29"/>
        <v>238.63</v>
      </c>
      <c r="L65" s="17">
        <f t="shared" si="29"/>
        <v>55.839999999999996</v>
      </c>
      <c r="M65" s="17">
        <f t="shared" si="29"/>
        <v>642.77</v>
      </c>
    </row>
    <row r="66" spans="1:18" ht="17.25" thickBot="1" x14ac:dyDescent="0.35">
      <c r="A66" s="29"/>
      <c r="B66" s="29"/>
      <c r="C66" s="30"/>
      <c r="D66" s="29"/>
      <c r="E66" s="29"/>
      <c r="F66" s="31"/>
      <c r="G66" s="32">
        <f>G5+G7+G10+G21+G25+G31+G34+G39+G45+G48+G56+G58+G65</f>
        <v>0</v>
      </c>
      <c r="H66" s="32">
        <f t="shared" ref="H66:M66" si="30">H5+H7+H10+H21+H25+H31+H34+H39+H45+H48+H56+H58+H65</f>
        <v>401.32</v>
      </c>
      <c r="I66" s="32">
        <f t="shared" si="30"/>
        <v>4465.2</v>
      </c>
      <c r="J66" s="32">
        <f t="shared" si="30"/>
        <v>477.43000000000006</v>
      </c>
      <c r="K66" s="32">
        <f t="shared" si="30"/>
        <v>656.62</v>
      </c>
      <c r="L66" s="32">
        <f t="shared" si="30"/>
        <v>55.839999999999996</v>
      </c>
      <c r="M66" s="32">
        <f t="shared" si="30"/>
        <v>6056.41</v>
      </c>
    </row>
    <row r="67" spans="1:18" ht="17.25" thickTop="1" x14ac:dyDescent="0.3">
      <c r="A67" s="33"/>
      <c r="B67" s="33"/>
      <c r="C67" s="34"/>
      <c r="D67" s="33"/>
      <c r="E67" s="33"/>
      <c r="F67" s="33"/>
      <c r="G67" s="35"/>
      <c r="H67" s="35"/>
      <c r="I67" s="35"/>
      <c r="J67" s="35"/>
      <c r="K67" s="35"/>
      <c r="L67" s="35"/>
      <c r="M67" s="35"/>
      <c r="O67" s="36"/>
      <c r="R67" s="37"/>
    </row>
    <row r="68" spans="1:18" x14ac:dyDescent="0.3">
      <c r="E68" s="38"/>
      <c r="F68" s="38"/>
      <c r="N68" s="36"/>
      <c r="O68" s="36"/>
    </row>
    <row r="69" spans="1:18" ht="17.25" thickBot="1" x14ac:dyDescent="0.35">
      <c r="A69" s="33"/>
      <c r="B69" s="33"/>
      <c r="C69" s="34"/>
      <c r="D69" s="33"/>
      <c r="E69" s="33"/>
      <c r="F69" s="33"/>
      <c r="G69" s="35"/>
      <c r="H69" s="35"/>
      <c r="I69" s="35"/>
      <c r="J69" s="35"/>
      <c r="K69" s="35"/>
      <c r="L69" s="35"/>
      <c r="M69" s="35"/>
      <c r="O69" s="36"/>
    </row>
    <row r="70" spans="1:18" ht="17.25" thickBot="1" x14ac:dyDescent="0.35">
      <c r="A70" s="33"/>
      <c r="B70" s="33"/>
      <c r="C70" s="33"/>
      <c r="D70" s="33"/>
      <c r="E70" s="33"/>
      <c r="F70" s="39" t="s">
        <v>86</v>
      </c>
      <c r="G70" s="40"/>
      <c r="H70" s="40"/>
      <c r="I70" s="40"/>
      <c r="J70" s="40"/>
      <c r="K70" s="40"/>
      <c r="L70" s="40"/>
      <c r="M70" s="41"/>
    </row>
    <row r="71" spans="1:18" ht="52.5" x14ac:dyDescent="0.3">
      <c r="A71" s="33"/>
      <c r="B71" s="33"/>
      <c r="C71" s="33"/>
      <c r="D71" s="33"/>
      <c r="E71" s="33"/>
      <c r="F71" s="42"/>
      <c r="G71" s="43" t="s">
        <v>7</v>
      </c>
      <c r="H71" s="44" t="s">
        <v>87</v>
      </c>
      <c r="I71" s="44" t="s">
        <v>88</v>
      </c>
      <c r="J71" s="44" t="s">
        <v>89</v>
      </c>
      <c r="K71" s="44" t="s">
        <v>11</v>
      </c>
      <c r="L71" s="44" t="s">
        <v>12</v>
      </c>
      <c r="M71" s="45" t="s">
        <v>90</v>
      </c>
    </row>
    <row r="72" spans="1:18" x14ac:dyDescent="0.3">
      <c r="A72" s="33"/>
      <c r="B72" s="33"/>
      <c r="C72" s="46"/>
      <c r="D72" s="33"/>
      <c r="E72" s="33"/>
      <c r="F72" s="47" t="s">
        <v>91</v>
      </c>
      <c r="G72" s="48">
        <f>G66-G73</f>
        <v>0</v>
      </c>
      <c r="H72" s="48">
        <f t="shared" ref="H72:M72" si="31">H66-H73</f>
        <v>401.32</v>
      </c>
      <c r="I72" s="48">
        <f t="shared" si="31"/>
        <v>4465.2</v>
      </c>
      <c r="J72" s="48">
        <f t="shared" si="31"/>
        <v>477.43000000000006</v>
      </c>
      <c r="K72" s="48">
        <f t="shared" si="31"/>
        <v>656.62</v>
      </c>
      <c r="L72" s="48">
        <f t="shared" si="31"/>
        <v>55.839999999999996</v>
      </c>
      <c r="M72" s="48">
        <f t="shared" si="31"/>
        <v>6056.41</v>
      </c>
    </row>
    <row r="73" spans="1:18" x14ac:dyDescent="0.3">
      <c r="A73" s="33"/>
      <c r="B73" s="33"/>
      <c r="C73" s="46"/>
      <c r="D73" s="33"/>
      <c r="E73" s="33"/>
      <c r="F73" s="47" t="s">
        <v>92</v>
      </c>
      <c r="G73" s="48">
        <f t="shared" ref="G73:L73" si="32">G5</f>
        <v>0</v>
      </c>
      <c r="H73" s="48">
        <f t="shared" si="32"/>
        <v>0</v>
      </c>
      <c r="I73" s="48">
        <f t="shared" si="32"/>
        <v>0</v>
      </c>
      <c r="J73" s="48">
        <f t="shared" si="32"/>
        <v>0</v>
      </c>
      <c r="K73" s="48">
        <f t="shared" si="32"/>
        <v>0</v>
      </c>
      <c r="L73" s="48">
        <f t="shared" si="32"/>
        <v>0</v>
      </c>
      <c r="M73" s="48">
        <f>SUM(G73:L73)</f>
        <v>0</v>
      </c>
    </row>
    <row r="74" spans="1:18" x14ac:dyDescent="0.3">
      <c r="A74" s="33"/>
      <c r="B74" s="33"/>
      <c r="C74" s="46"/>
      <c r="D74" s="33"/>
      <c r="E74" s="33"/>
      <c r="F74" s="49" t="s">
        <v>93</v>
      </c>
      <c r="G74" s="50">
        <f t="shared" ref="G74:L74" si="33">SUM(G72:G73)</f>
        <v>0</v>
      </c>
      <c r="H74" s="50">
        <f t="shared" si="33"/>
        <v>401.32</v>
      </c>
      <c r="I74" s="50">
        <f t="shared" si="33"/>
        <v>4465.2</v>
      </c>
      <c r="J74" s="50">
        <f t="shared" si="33"/>
        <v>477.43000000000006</v>
      </c>
      <c r="K74" s="50">
        <f t="shared" si="33"/>
        <v>656.62</v>
      </c>
      <c r="L74" s="50">
        <f t="shared" si="33"/>
        <v>55.839999999999996</v>
      </c>
      <c r="M74" s="51">
        <f>SUM(G74:L74)</f>
        <v>6056.41</v>
      </c>
      <c r="N74" s="52"/>
    </row>
    <row r="75" spans="1:18" x14ac:dyDescent="0.3">
      <c r="A75" s="33"/>
      <c r="B75" s="33"/>
      <c r="C75" s="46"/>
      <c r="D75" s="33"/>
      <c r="E75" s="33"/>
      <c r="F75" s="47" t="s">
        <v>94</v>
      </c>
      <c r="G75" s="53" t="s">
        <v>95</v>
      </c>
      <c r="H75" s="53"/>
      <c r="I75" s="53" t="s">
        <v>95</v>
      </c>
      <c r="J75" s="53" t="s">
        <v>95</v>
      </c>
      <c r="K75" s="53" t="s">
        <v>95</v>
      </c>
      <c r="L75" s="53" t="s">
        <v>95</v>
      </c>
      <c r="M75" s="48">
        <f>SUM(G75:L75)</f>
        <v>0</v>
      </c>
    </row>
    <row r="76" spans="1:18" x14ac:dyDescent="0.3">
      <c r="A76" s="33"/>
      <c r="B76" s="33"/>
      <c r="C76" s="46"/>
      <c r="D76" s="33"/>
      <c r="E76" s="33"/>
      <c r="F76" s="47" t="s">
        <v>96</v>
      </c>
      <c r="G76" s="53" t="s">
        <v>95</v>
      </c>
      <c r="H76" s="54"/>
      <c r="I76" s="53" t="s">
        <v>95</v>
      </c>
      <c r="J76" s="53" t="s">
        <v>95</v>
      </c>
      <c r="K76" s="53" t="s">
        <v>95</v>
      </c>
      <c r="L76" s="53" t="s">
        <v>95</v>
      </c>
      <c r="M76" s="48">
        <f>SUM(G76:L76)</f>
        <v>0</v>
      </c>
    </row>
    <row r="77" spans="1:18" ht="17.25" thickBot="1" x14ac:dyDescent="0.35">
      <c r="A77" s="33"/>
      <c r="B77" s="33"/>
      <c r="C77" s="46"/>
      <c r="D77" s="33"/>
      <c r="E77" s="33"/>
      <c r="F77" s="55" t="s">
        <v>97</v>
      </c>
      <c r="G77" s="56">
        <f t="shared" ref="G77:L77" si="34">SUM(G74:G76)</f>
        <v>0</v>
      </c>
      <c r="H77" s="56">
        <f t="shared" si="34"/>
        <v>401.32</v>
      </c>
      <c r="I77" s="56">
        <f t="shared" si="34"/>
        <v>4465.2</v>
      </c>
      <c r="J77" s="56">
        <f t="shared" si="34"/>
        <v>477.43000000000006</v>
      </c>
      <c r="K77" s="56">
        <f t="shared" si="34"/>
        <v>656.62</v>
      </c>
      <c r="L77" s="56">
        <f t="shared" si="34"/>
        <v>55.839999999999996</v>
      </c>
      <c r="M77" s="57">
        <f>SUM(G77:L77)</f>
        <v>6056.41</v>
      </c>
    </row>
    <row r="78" spans="1:18" x14ac:dyDescent="0.3">
      <c r="A78" s="33"/>
      <c r="B78" s="33"/>
      <c r="C78" s="33"/>
      <c r="D78" s="33"/>
      <c r="E78" s="33"/>
      <c r="F78" s="33"/>
      <c r="G78" s="35"/>
      <c r="H78" s="35"/>
      <c r="I78" s="35"/>
      <c r="J78" s="35"/>
      <c r="K78" s="35"/>
      <c r="L78" s="35"/>
      <c r="M78" s="35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0D7D-3D8B-4233-8A1F-F7AA61DC6B30}">
  <dimension ref="A1:R8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4" sqref="D34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6" ht="23.25" x14ac:dyDescent="0.35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6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6" x14ac:dyDescent="0.3">
      <c r="A3" s="8" t="s">
        <v>14</v>
      </c>
      <c r="B3" s="8" t="s">
        <v>15</v>
      </c>
      <c r="C3" s="9" t="s">
        <v>261</v>
      </c>
      <c r="D3" s="8" t="s">
        <v>267</v>
      </c>
      <c r="E3" s="9">
        <v>43488</v>
      </c>
      <c r="F3" s="10" t="s">
        <v>201</v>
      </c>
      <c r="G3" s="11">
        <v>85.94</v>
      </c>
      <c r="H3" s="11">
        <v>0</v>
      </c>
      <c r="I3" s="11">
        <v>0</v>
      </c>
      <c r="J3" s="11"/>
      <c r="K3" s="11">
        <v>219.9</v>
      </c>
      <c r="L3" s="11"/>
      <c r="M3" s="11">
        <f>SUM(G3:L3)</f>
        <v>305.84000000000003</v>
      </c>
      <c r="O3" s="59"/>
      <c r="P3" s="59"/>
    </row>
    <row r="4" spans="1:16" x14ac:dyDescent="0.3">
      <c r="A4" s="8" t="s">
        <v>14</v>
      </c>
      <c r="B4" s="8" t="s">
        <v>15</v>
      </c>
      <c r="C4" s="9">
        <v>43472</v>
      </c>
      <c r="D4" s="8" t="s">
        <v>267</v>
      </c>
      <c r="E4" s="9">
        <v>43490</v>
      </c>
      <c r="F4" s="10" t="s">
        <v>256</v>
      </c>
      <c r="G4" s="11">
        <v>86.62</v>
      </c>
      <c r="H4" s="11">
        <v>0</v>
      </c>
      <c r="I4" s="11"/>
      <c r="J4" s="11"/>
      <c r="K4" s="11"/>
      <c r="L4" s="11"/>
      <c r="M4" s="11">
        <f>SUM(G4:L4)</f>
        <v>86.62</v>
      </c>
      <c r="O4" s="59"/>
      <c r="P4" s="59"/>
    </row>
    <row r="5" spans="1:16" x14ac:dyDescent="0.3">
      <c r="A5" s="8" t="s">
        <v>14</v>
      </c>
      <c r="B5" s="8" t="s">
        <v>15</v>
      </c>
      <c r="C5" s="9">
        <v>43532</v>
      </c>
      <c r="D5" s="8" t="s">
        <v>184</v>
      </c>
      <c r="E5" s="9">
        <v>43514</v>
      </c>
      <c r="F5" s="10" t="s">
        <v>262</v>
      </c>
      <c r="G5" s="11">
        <v>0</v>
      </c>
      <c r="H5" s="11">
        <v>0</v>
      </c>
      <c r="I5" s="11">
        <v>17.899999999999999</v>
      </c>
      <c r="J5" s="11"/>
      <c r="K5" s="11">
        <v>0</v>
      </c>
      <c r="L5" s="11"/>
      <c r="M5" s="11">
        <f>SUM(G5:L5)</f>
        <v>17.899999999999999</v>
      </c>
      <c r="O5" s="59"/>
      <c r="P5" s="59"/>
    </row>
    <row r="6" spans="1:16" x14ac:dyDescent="0.3">
      <c r="A6" s="8" t="s">
        <v>14</v>
      </c>
      <c r="B6" s="8" t="s">
        <v>15</v>
      </c>
      <c r="C6" s="9">
        <v>43507</v>
      </c>
      <c r="D6" s="8" t="s">
        <v>202</v>
      </c>
      <c r="E6" s="9">
        <v>43490</v>
      </c>
      <c r="F6" s="10" t="s">
        <v>259</v>
      </c>
      <c r="G6" s="11">
        <v>0</v>
      </c>
      <c r="H6" s="11">
        <v>0</v>
      </c>
      <c r="I6" s="11">
        <v>179</v>
      </c>
      <c r="J6" s="11"/>
      <c r="K6" s="11"/>
      <c r="L6" s="11"/>
      <c r="M6" s="11">
        <f>SUM(G6:L6)</f>
        <v>179</v>
      </c>
      <c r="O6" s="59"/>
      <c r="P6" s="59"/>
    </row>
    <row r="7" spans="1:16" x14ac:dyDescent="0.3">
      <c r="A7" s="12" t="s">
        <v>20</v>
      </c>
      <c r="B7" s="13" t="s">
        <v>15</v>
      </c>
      <c r="C7" s="14"/>
      <c r="D7" s="15"/>
      <c r="E7" s="16"/>
      <c r="F7" s="13"/>
      <c r="G7" s="17">
        <f>SUM(G3:G6)</f>
        <v>172.56</v>
      </c>
      <c r="H7" s="17">
        <f t="shared" ref="H7:L7" si="0">SUM(H3:H6)</f>
        <v>0</v>
      </c>
      <c r="I7" s="17">
        <f t="shared" si="0"/>
        <v>196.9</v>
      </c>
      <c r="J7" s="17">
        <f t="shared" si="0"/>
        <v>0</v>
      </c>
      <c r="K7" s="17">
        <f t="shared" si="0"/>
        <v>219.9</v>
      </c>
      <c r="L7" s="17">
        <f t="shared" si="0"/>
        <v>0</v>
      </c>
      <c r="M7" s="17">
        <f>SUBTOTAL(9,M3:M6)</f>
        <v>589.36</v>
      </c>
    </row>
    <row r="8" spans="1:16" x14ac:dyDescent="0.3">
      <c r="A8" s="8" t="s">
        <v>124</v>
      </c>
      <c r="B8" s="8" t="s">
        <v>165</v>
      </c>
      <c r="C8" s="9">
        <v>43507</v>
      </c>
      <c r="D8" s="8" t="s">
        <v>184</v>
      </c>
      <c r="E8" s="9">
        <v>43503</v>
      </c>
      <c r="F8" s="10" t="s">
        <v>162</v>
      </c>
      <c r="G8" s="11">
        <v>0</v>
      </c>
      <c r="H8" s="11"/>
      <c r="I8" s="11">
        <v>64.5</v>
      </c>
      <c r="J8" s="11"/>
      <c r="K8" s="11">
        <v>0</v>
      </c>
      <c r="L8" s="11"/>
      <c r="M8" s="11">
        <f>SUM(G8:L8)</f>
        <v>64.5</v>
      </c>
      <c r="O8" s="59"/>
      <c r="P8" s="59"/>
    </row>
    <row r="9" spans="1:16" x14ac:dyDescent="0.3">
      <c r="A9" s="12" t="s">
        <v>147</v>
      </c>
      <c r="B9" s="13"/>
      <c r="C9" s="14"/>
      <c r="D9" s="15"/>
      <c r="E9" s="16"/>
      <c r="F9" s="13"/>
      <c r="G9" s="17">
        <f t="shared" ref="G9:L9" si="1">SUBTOTAL(9,G8:G8)</f>
        <v>0</v>
      </c>
      <c r="H9" s="17">
        <f t="shared" si="1"/>
        <v>0</v>
      </c>
      <c r="I9" s="17">
        <f t="shared" si="1"/>
        <v>64.5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>SUBTOTAL(9,M8:M8)</f>
        <v>64.5</v>
      </c>
    </row>
    <row r="10" spans="1:16" x14ac:dyDescent="0.3">
      <c r="A10" s="8" t="s">
        <v>28</v>
      </c>
      <c r="B10" s="8" t="s">
        <v>29</v>
      </c>
      <c r="C10" s="9">
        <v>43522</v>
      </c>
      <c r="D10" s="10" t="s">
        <v>225</v>
      </c>
      <c r="E10" s="9">
        <v>43395</v>
      </c>
      <c r="F10" s="10" t="s">
        <v>31</v>
      </c>
      <c r="G10" s="11"/>
      <c r="H10" s="11"/>
      <c r="I10" s="11">
        <v>338</v>
      </c>
      <c r="J10" s="11">
        <v>40</v>
      </c>
      <c r="K10" s="11">
        <v>0.99</v>
      </c>
      <c r="L10" s="11"/>
      <c r="M10" s="11">
        <f>SUM(G10:L10)</f>
        <v>378.99</v>
      </c>
      <c r="O10" s="59"/>
      <c r="P10" s="59"/>
    </row>
    <row r="11" spans="1:16" x14ac:dyDescent="0.3">
      <c r="A11" s="8" t="s">
        <v>28</v>
      </c>
      <c r="B11" s="8" t="s">
        <v>29</v>
      </c>
      <c r="C11" s="9">
        <v>43522</v>
      </c>
      <c r="D11" s="10" t="s">
        <v>225</v>
      </c>
      <c r="E11" s="9">
        <v>43418</v>
      </c>
      <c r="F11" s="10" t="s">
        <v>31</v>
      </c>
      <c r="G11" s="11"/>
      <c r="H11" s="11"/>
      <c r="I11" s="11">
        <v>338</v>
      </c>
      <c r="J11" s="11">
        <v>56</v>
      </c>
      <c r="K11" s="11">
        <v>2.58</v>
      </c>
      <c r="L11" s="11"/>
      <c r="M11" s="11">
        <f t="shared" ref="M11:M23" si="2">SUM(G11:L11)</f>
        <v>396.58</v>
      </c>
      <c r="O11" s="59"/>
      <c r="P11" s="59"/>
    </row>
    <row r="12" spans="1:16" x14ac:dyDescent="0.3">
      <c r="A12" s="8" t="s">
        <v>28</v>
      </c>
      <c r="B12" s="8" t="s">
        <v>29</v>
      </c>
      <c r="C12" s="9">
        <v>43522</v>
      </c>
      <c r="D12" s="10" t="s">
        <v>252</v>
      </c>
      <c r="E12" s="9">
        <v>43426</v>
      </c>
      <c r="F12" s="10" t="s">
        <v>213</v>
      </c>
      <c r="G12" s="11"/>
      <c r="H12" s="11"/>
      <c r="I12" s="11">
        <v>0</v>
      </c>
      <c r="J12" s="11">
        <v>20.100000000000001</v>
      </c>
      <c r="K12" s="11">
        <v>0</v>
      </c>
      <c r="L12" s="11"/>
      <c r="M12" s="11">
        <f t="shared" si="2"/>
        <v>20.100000000000001</v>
      </c>
      <c r="O12" s="59"/>
      <c r="P12" s="59"/>
    </row>
    <row r="13" spans="1:16" x14ac:dyDescent="0.3">
      <c r="A13" s="8" t="s">
        <v>28</v>
      </c>
      <c r="B13" s="8" t="s">
        <v>29</v>
      </c>
      <c r="C13" s="9">
        <v>43522</v>
      </c>
      <c r="D13" s="10" t="s">
        <v>225</v>
      </c>
      <c r="E13" s="9">
        <v>43797</v>
      </c>
      <c r="F13" s="10" t="s">
        <v>31</v>
      </c>
      <c r="G13" s="11"/>
      <c r="H13" s="11"/>
      <c r="I13" s="11">
        <v>338</v>
      </c>
      <c r="J13" s="11">
        <v>64</v>
      </c>
      <c r="K13" s="11">
        <v>4.04</v>
      </c>
      <c r="L13" s="11"/>
      <c r="M13" s="11">
        <f t="shared" si="2"/>
        <v>406.04</v>
      </c>
      <c r="O13" s="59"/>
      <c r="P13" s="59"/>
    </row>
    <row r="14" spans="1:16" x14ac:dyDescent="0.3">
      <c r="A14" s="10" t="s">
        <v>28</v>
      </c>
      <c r="B14" s="8" t="s">
        <v>29</v>
      </c>
      <c r="C14" s="9">
        <v>43523</v>
      </c>
      <c r="D14" s="10" t="s">
        <v>183</v>
      </c>
      <c r="E14" s="9">
        <v>43411</v>
      </c>
      <c r="F14" s="10" t="s">
        <v>31</v>
      </c>
      <c r="G14" s="11"/>
      <c r="H14" s="11"/>
      <c r="I14" s="11">
        <v>338</v>
      </c>
      <c r="J14" s="11">
        <v>50</v>
      </c>
      <c r="K14" s="11">
        <v>7.69</v>
      </c>
      <c r="L14" s="11"/>
      <c r="M14" s="11">
        <f t="shared" si="2"/>
        <v>395.69</v>
      </c>
      <c r="O14" s="59"/>
      <c r="P14" s="59"/>
    </row>
    <row r="15" spans="1:16" x14ac:dyDescent="0.3">
      <c r="A15" s="10" t="s">
        <v>28</v>
      </c>
      <c r="B15" s="8" t="s">
        <v>29</v>
      </c>
      <c r="C15" s="9">
        <v>43523</v>
      </c>
      <c r="D15" s="10" t="s">
        <v>225</v>
      </c>
      <c r="E15" s="9">
        <v>43404</v>
      </c>
      <c r="F15" s="10" t="s">
        <v>31</v>
      </c>
      <c r="G15" s="11"/>
      <c r="H15" s="11"/>
      <c r="I15" s="11">
        <v>338</v>
      </c>
      <c r="J15" s="11">
        <v>41</v>
      </c>
      <c r="K15" s="11">
        <v>7.19</v>
      </c>
      <c r="L15" s="11"/>
      <c r="M15" s="11">
        <f t="shared" si="2"/>
        <v>386.19</v>
      </c>
      <c r="O15" s="59"/>
      <c r="P15" s="59"/>
    </row>
    <row r="16" spans="1:16" x14ac:dyDescent="0.3">
      <c r="A16" s="10" t="s">
        <v>28</v>
      </c>
      <c r="B16" s="8" t="s">
        <v>29</v>
      </c>
      <c r="C16" s="9">
        <v>43531</v>
      </c>
      <c r="D16" s="10" t="s">
        <v>254</v>
      </c>
      <c r="E16" s="9">
        <v>43503</v>
      </c>
      <c r="F16" s="10" t="s">
        <v>31</v>
      </c>
      <c r="G16" s="11"/>
      <c r="H16" s="11"/>
      <c r="I16" s="11">
        <v>350</v>
      </c>
      <c r="J16" s="11">
        <v>39</v>
      </c>
      <c r="K16" s="11">
        <v>0.99</v>
      </c>
      <c r="L16" s="11"/>
      <c r="M16" s="11">
        <f t="shared" si="2"/>
        <v>389.99</v>
      </c>
      <c r="O16" s="59"/>
      <c r="P16" s="59"/>
    </row>
    <row r="17" spans="1:16" x14ac:dyDescent="0.3">
      <c r="A17" s="10" t="s">
        <v>28</v>
      </c>
      <c r="B17" s="8" t="s">
        <v>29</v>
      </c>
      <c r="C17" s="9">
        <v>43542</v>
      </c>
      <c r="D17" s="10" t="s">
        <v>37</v>
      </c>
      <c r="E17" s="9">
        <v>43474</v>
      </c>
      <c r="F17" s="10" t="s">
        <v>31</v>
      </c>
      <c r="G17" s="11"/>
      <c r="H17" s="11"/>
      <c r="I17" s="11">
        <v>350</v>
      </c>
      <c r="J17" s="11">
        <v>44</v>
      </c>
      <c r="K17" s="11">
        <v>5.58</v>
      </c>
      <c r="L17" s="11"/>
      <c r="M17" s="11">
        <f t="shared" si="2"/>
        <v>399.58</v>
      </c>
      <c r="O17" s="59"/>
      <c r="P17" s="59"/>
    </row>
    <row r="18" spans="1:16" x14ac:dyDescent="0.3">
      <c r="A18" s="10" t="s">
        <v>28</v>
      </c>
      <c r="B18" s="8" t="s">
        <v>29</v>
      </c>
      <c r="C18" s="9">
        <v>43542</v>
      </c>
      <c r="D18" s="10" t="s">
        <v>37</v>
      </c>
      <c r="E18" s="9">
        <v>43481</v>
      </c>
      <c r="F18" s="10" t="s">
        <v>31</v>
      </c>
      <c r="G18" s="11"/>
      <c r="H18" s="11"/>
      <c r="I18" s="11">
        <v>350</v>
      </c>
      <c r="J18" s="11">
        <v>36</v>
      </c>
      <c r="K18" s="11">
        <v>2.59</v>
      </c>
      <c r="L18" s="11"/>
      <c r="M18" s="11">
        <f t="shared" si="2"/>
        <v>388.59</v>
      </c>
      <c r="O18" s="59"/>
      <c r="P18" s="59"/>
    </row>
    <row r="19" spans="1:16" x14ac:dyDescent="0.3">
      <c r="A19" s="10" t="s">
        <v>28</v>
      </c>
      <c r="B19" s="8" t="s">
        <v>29</v>
      </c>
      <c r="C19" s="9" t="s">
        <v>261</v>
      </c>
      <c r="D19" s="8" t="s">
        <v>267</v>
      </c>
      <c r="E19" s="9">
        <v>43488</v>
      </c>
      <c r="F19" s="10" t="s">
        <v>201</v>
      </c>
      <c r="G19" s="11">
        <v>85.94</v>
      </c>
      <c r="H19" s="11"/>
      <c r="I19" s="11">
        <v>0</v>
      </c>
      <c r="J19" s="11">
        <v>0</v>
      </c>
      <c r="K19" s="11">
        <v>219.9</v>
      </c>
      <c r="L19" s="11"/>
      <c r="M19" s="11">
        <f t="shared" si="2"/>
        <v>305.84000000000003</v>
      </c>
      <c r="O19" s="59"/>
      <c r="P19" s="59"/>
    </row>
    <row r="20" spans="1:16" x14ac:dyDescent="0.3">
      <c r="A20" s="10" t="s">
        <v>28</v>
      </c>
      <c r="B20" s="8" t="s">
        <v>29</v>
      </c>
      <c r="C20" s="9">
        <v>43472</v>
      </c>
      <c r="D20" s="8" t="s">
        <v>267</v>
      </c>
      <c r="E20" s="9">
        <v>43490</v>
      </c>
      <c r="F20" s="10" t="s">
        <v>257</v>
      </c>
      <c r="G20" s="11"/>
      <c r="H20" s="11"/>
      <c r="I20" s="11">
        <v>35.9</v>
      </c>
      <c r="J20" s="11">
        <v>0</v>
      </c>
      <c r="K20" s="11">
        <v>0</v>
      </c>
      <c r="L20" s="11"/>
      <c r="M20" s="11">
        <f t="shared" si="2"/>
        <v>35.9</v>
      </c>
      <c r="O20" s="59"/>
      <c r="P20" s="59"/>
    </row>
    <row r="21" spans="1:16" x14ac:dyDescent="0.3">
      <c r="A21" s="10" t="s">
        <v>28</v>
      </c>
      <c r="B21" s="8" t="s">
        <v>29</v>
      </c>
      <c r="C21" s="9">
        <v>43472</v>
      </c>
      <c r="D21" s="10"/>
      <c r="E21" s="9">
        <v>43438</v>
      </c>
      <c r="F21" s="10" t="s">
        <v>260</v>
      </c>
      <c r="G21" s="11"/>
      <c r="H21" s="11"/>
      <c r="I21" s="11">
        <v>0</v>
      </c>
      <c r="J21" s="11">
        <v>0</v>
      </c>
      <c r="K21" s="11">
        <v>140.6</v>
      </c>
      <c r="L21" s="11"/>
      <c r="M21" s="11">
        <f t="shared" si="2"/>
        <v>140.6</v>
      </c>
      <c r="O21" s="59"/>
      <c r="P21" s="59"/>
    </row>
    <row r="22" spans="1:16" x14ac:dyDescent="0.3">
      <c r="A22" s="10" t="s">
        <v>28</v>
      </c>
      <c r="B22" s="8" t="s">
        <v>29</v>
      </c>
      <c r="C22" s="9">
        <v>43507</v>
      </c>
      <c r="D22" s="10" t="s">
        <v>268</v>
      </c>
      <c r="E22" s="9">
        <v>43495</v>
      </c>
      <c r="F22" s="10" t="s">
        <v>260</v>
      </c>
      <c r="G22" s="11"/>
      <c r="H22" s="11"/>
      <c r="I22" s="11"/>
      <c r="J22" s="11"/>
      <c r="K22" s="11">
        <v>170.01</v>
      </c>
      <c r="L22" s="11"/>
      <c r="M22" s="11">
        <f t="shared" si="2"/>
        <v>170.01</v>
      </c>
      <c r="O22" s="59"/>
      <c r="P22" s="59"/>
    </row>
    <row r="23" spans="1:16" x14ac:dyDescent="0.3">
      <c r="A23" s="10" t="s">
        <v>28</v>
      </c>
      <c r="B23" s="8" t="s">
        <v>29</v>
      </c>
      <c r="C23" s="9"/>
      <c r="D23" s="10"/>
      <c r="E23" s="9"/>
      <c r="F23" s="10"/>
      <c r="G23" s="11"/>
      <c r="H23" s="11"/>
      <c r="I23" s="11"/>
      <c r="J23" s="11"/>
      <c r="K23" s="11"/>
      <c r="L23" s="11"/>
      <c r="M23" s="11">
        <f t="shared" si="2"/>
        <v>0</v>
      </c>
      <c r="O23" s="59"/>
      <c r="P23" s="59"/>
    </row>
    <row r="24" spans="1:16" x14ac:dyDescent="0.3">
      <c r="A24" s="12" t="s">
        <v>39</v>
      </c>
      <c r="B24" s="13"/>
      <c r="C24" s="14"/>
      <c r="D24" s="15"/>
      <c r="E24" s="16"/>
      <c r="F24" s="13"/>
      <c r="G24" s="17">
        <f>SUBTOTAL(9,G10:G23)</f>
        <v>85.94</v>
      </c>
      <c r="H24" s="17">
        <f t="shared" ref="H24:L24" si="3">SUBTOTAL(9,H10:H23)</f>
        <v>0</v>
      </c>
      <c r="I24" s="17">
        <f>SUBTOTAL(9,I10:I23)</f>
        <v>2775.9</v>
      </c>
      <c r="J24" s="17">
        <f>SUBTOTAL(9,J10:J23)</f>
        <v>390.1</v>
      </c>
      <c r="K24" s="17">
        <f>SUBTOTAL(9,K10:K23)</f>
        <v>562.16</v>
      </c>
      <c r="L24" s="17">
        <f t="shared" si="3"/>
        <v>0</v>
      </c>
      <c r="M24" s="17">
        <f>SUBTOTAL(9,M10:M23)</f>
        <v>3814.1000000000004</v>
      </c>
    </row>
    <row r="25" spans="1:16" x14ac:dyDescent="0.3">
      <c r="A25" s="10" t="s">
        <v>195</v>
      </c>
      <c r="B25" s="8" t="s">
        <v>41</v>
      </c>
      <c r="C25" s="9">
        <v>43553</v>
      </c>
      <c r="D25" s="10" t="s">
        <v>37</v>
      </c>
      <c r="E25" s="9">
        <v>43537</v>
      </c>
      <c r="F25" s="10" t="s">
        <v>235</v>
      </c>
      <c r="G25" s="11"/>
      <c r="H25" s="11"/>
      <c r="I25" s="11">
        <v>7</v>
      </c>
      <c r="J25" s="11"/>
      <c r="K25" s="11">
        <v>0</v>
      </c>
      <c r="L25" s="11"/>
      <c r="M25" s="11">
        <f t="shared" ref="M25:M26" si="4">SUM(G25:L25)</f>
        <v>7</v>
      </c>
      <c r="O25" s="59"/>
      <c r="P25" s="59"/>
    </row>
    <row r="26" spans="1:16" x14ac:dyDescent="0.3">
      <c r="A26" s="10" t="s">
        <v>195</v>
      </c>
      <c r="B26" s="8" t="s">
        <v>41</v>
      </c>
      <c r="C26" s="9">
        <v>43553</v>
      </c>
      <c r="D26" s="10" t="s">
        <v>37</v>
      </c>
      <c r="E26" s="9">
        <v>43495</v>
      </c>
      <c r="F26" s="10" t="s">
        <v>235</v>
      </c>
      <c r="G26" s="11"/>
      <c r="H26" s="11"/>
      <c r="I26" s="11">
        <v>6.9</v>
      </c>
      <c r="J26" s="11"/>
      <c r="K26" s="11"/>
      <c r="L26" s="11"/>
      <c r="M26" s="11">
        <f t="shared" si="4"/>
        <v>6.9</v>
      </c>
      <c r="O26" s="59"/>
      <c r="P26" s="59"/>
    </row>
    <row r="27" spans="1:16" x14ac:dyDescent="0.3">
      <c r="A27" s="10" t="s">
        <v>195</v>
      </c>
      <c r="B27" s="8" t="s">
        <v>41</v>
      </c>
      <c r="C27" s="9">
        <v>43553</v>
      </c>
      <c r="D27" s="10" t="s">
        <v>234</v>
      </c>
      <c r="E27" s="9">
        <v>43531</v>
      </c>
      <c r="F27" s="10" t="s">
        <v>235</v>
      </c>
      <c r="G27" s="11"/>
      <c r="H27" s="11"/>
      <c r="I27" s="11">
        <v>7.2</v>
      </c>
      <c r="J27" s="11"/>
      <c r="K27" s="11"/>
      <c r="L27" s="11"/>
      <c r="M27" s="11">
        <f t="shared" ref="M27" si="5">SUM(G27:L27)</f>
        <v>7.2</v>
      </c>
      <c r="O27" s="59"/>
      <c r="P27" s="59"/>
    </row>
    <row r="28" spans="1:16" x14ac:dyDescent="0.3">
      <c r="A28" s="10" t="s">
        <v>195</v>
      </c>
      <c r="B28" s="8" t="s">
        <v>41</v>
      </c>
      <c r="C28" s="9">
        <v>43553</v>
      </c>
      <c r="D28" s="10" t="s">
        <v>234</v>
      </c>
      <c r="E28" s="9">
        <v>43475</v>
      </c>
      <c r="F28" s="10" t="s">
        <v>235</v>
      </c>
      <c r="G28" s="11"/>
      <c r="H28" s="11"/>
      <c r="I28" s="11">
        <v>6.8</v>
      </c>
      <c r="J28" s="11"/>
      <c r="K28" s="11"/>
      <c r="L28" s="11"/>
      <c r="M28" s="11">
        <f t="shared" ref="M28" si="6">SUM(G28:L28)</f>
        <v>6.8</v>
      </c>
      <c r="O28" s="59"/>
      <c r="P28" s="59"/>
    </row>
    <row r="29" spans="1:16" x14ac:dyDescent="0.3">
      <c r="A29" s="12" t="s">
        <v>194</v>
      </c>
      <c r="B29" s="13" t="s">
        <v>41</v>
      </c>
      <c r="C29" s="14"/>
      <c r="D29" s="15"/>
      <c r="E29" s="16"/>
      <c r="F29" s="13"/>
      <c r="G29" s="17">
        <f t="shared" ref="G29:H29" si="7">SUBTOTAL(9,G25:G25)</f>
        <v>0</v>
      </c>
      <c r="H29" s="17">
        <f t="shared" si="7"/>
        <v>0</v>
      </c>
      <c r="I29" s="17">
        <f>SUBTOTAL(9,I25:I28)</f>
        <v>27.900000000000002</v>
      </c>
      <c r="J29" s="17">
        <f t="shared" ref="J29:L29" si="8">SUBTOTAL(9,J25:J28)</f>
        <v>0</v>
      </c>
      <c r="K29" s="17">
        <f t="shared" si="8"/>
        <v>0</v>
      </c>
      <c r="L29" s="17">
        <f t="shared" si="8"/>
        <v>0</v>
      </c>
      <c r="M29" s="17">
        <f>SUBTOTAL(9,M25:M28)</f>
        <v>27.900000000000002</v>
      </c>
    </row>
    <row r="30" spans="1:16" x14ac:dyDescent="0.3">
      <c r="A30" s="10" t="s">
        <v>42</v>
      </c>
      <c r="B30" s="8" t="s">
        <v>41</v>
      </c>
      <c r="C30" s="9">
        <v>43511</v>
      </c>
      <c r="D30" s="10" t="s">
        <v>234</v>
      </c>
      <c r="E30" s="9">
        <v>43498</v>
      </c>
      <c r="F30" s="25" t="s">
        <v>108</v>
      </c>
      <c r="G30" s="11"/>
      <c r="H30" s="11"/>
      <c r="I30" s="11">
        <v>27.3</v>
      </c>
      <c r="J30" s="11">
        <f>2+21.6</f>
        <v>23.6</v>
      </c>
      <c r="K30" s="11">
        <v>0</v>
      </c>
      <c r="L30" s="11">
        <v>4.8</v>
      </c>
      <c r="M30" s="11">
        <f>SUM(G30:L30)</f>
        <v>55.7</v>
      </c>
      <c r="O30" s="59"/>
      <c r="P30" s="59"/>
    </row>
    <row r="31" spans="1:16" x14ac:dyDescent="0.3">
      <c r="A31" s="10" t="s">
        <v>42</v>
      </c>
      <c r="B31" s="8" t="s">
        <v>41</v>
      </c>
      <c r="C31" s="9">
        <v>43553</v>
      </c>
      <c r="D31" s="25" t="s">
        <v>37</v>
      </c>
      <c r="E31" s="9">
        <v>43537</v>
      </c>
      <c r="F31" s="25" t="s">
        <v>108</v>
      </c>
      <c r="G31" s="11"/>
      <c r="H31" s="11"/>
      <c r="I31" s="11">
        <v>4.8</v>
      </c>
      <c r="J31" s="11">
        <f>2+14.4</f>
        <v>16.399999999999999</v>
      </c>
      <c r="K31" s="11">
        <v>0</v>
      </c>
      <c r="L31" s="11"/>
      <c r="M31" s="11">
        <f>SUM(G31:L31)</f>
        <v>21.2</v>
      </c>
      <c r="O31" s="59"/>
      <c r="P31" s="59"/>
    </row>
    <row r="32" spans="1:16" x14ac:dyDescent="0.3">
      <c r="A32" s="10" t="s">
        <v>42</v>
      </c>
      <c r="B32" s="8" t="s">
        <v>41</v>
      </c>
      <c r="C32" s="9">
        <v>43472</v>
      </c>
      <c r="D32" s="25" t="s">
        <v>37</v>
      </c>
      <c r="E32" s="9">
        <v>43438</v>
      </c>
      <c r="F32" s="25" t="s">
        <v>108</v>
      </c>
      <c r="G32" s="11"/>
      <c r="H32" s="11"/>
      <c r="I32" s="11">
        <v>69.3</v>
      </c>
      <c r="J32" s="11">
        <v>0</v>
      </c>
      <c r="K32" s="11">
        <v>0</v>
      </c>
      <c r="L32" s="11"/>
      <c r="M32" s="11">
        <f>SUM(G32:L32)</f>
        <v>69.3</v>
      </c>
      <c r="O32" s="59"/>
      <c r="P32" s="59"/>
    </row>
    <row r="33" spans="1:16" x14ac:dyDescent="0.3">
      <c r="A33" s="10" t="s">
        <v>42</v>
      </c>
      <c r="B33" s="8" t="s">
        <v>41</v>
      </c>
      <c r="C33" s="9">
        <v>43507</v>
      </c>
      <c r="D33" s="25" t="s">
        <v>37</v>
      </c>
      <c r="E33" s="9">
        <v>43495</v>
      </c>
      <c r="F33" s="25" t="s">
        <v>108</v>
      </c>
      <c r="G33" s="11"/>
      <c r="H33" s="11"/>
      <c r="I33" s="11">
        <v>36</v>
      </c>
      <c r="J33" s="11">
        <v>0</v>
      </c>
      <c r="K33" s="11">
        <v>0</v>
      </c>
      <c r="L33" s="11"/>
      <c r="M33" s="11">
        <f>SUM(G33:L33)</f>
        <v>36</v>
      </c>
      <c r="O33" s="59"/>
      <c r="P33" s="59"/>
    </row>
    <row r="34" spans="1:16" x14ac:dyDescent="0.3">
      <c r="A34" s="10" t="s">
        <v>42</v>
      </c>
      <c r="B34" s="8" t="s">
        <v>41</v>
      </c>
      <c r="C34" s="9">
        <v>43532</v>
      </c>
      <c r="D34" s="25" t="s">
        <v>37</v>
      </c>
      <c r="E34" s="9">
        <v>43529</v>
      </c>
      <c r="F34" s="25" t="s">
        <v>108</v>
      </c>
      <c r="G34" s="11"/>
      <c r="H34" s="11"/>
      <c r="I34" s="11">
        <v>59.05</v>
      </c>
      <c r="J34" s="11">
        <v>0</v>
      </c>
      <c r="K34" s="11">
        <v>0</v>
      </c>
      <c r="L34" s="11"/>
      <c r="M34" s="11">
        <f>SUM(G34:L34)</f>
        <v>59.05</v>
      </c>
      <c r="O34" s="59"/>
      <c r="P34" s="59"/>
    </row>
    <row r="35" spans="1:16" x14ac:dyDescent="0.3">
      <c r="A35" s="12" t="s">
        <v>50</v>
      </c>
      <c r="B35" s="13"/>
      <c r="C35" s="16"/>
      <c r="D35" s="15"/>
      <c r="E35" s="16"/>
      <c r="F35" s="13"/>
      <c r="G35" s="17">
        <f t="shared" ref="G35:H35" si="9">SUBTOTAL(9,G30:G30)</f>
        <v>0</v>
      </c>
      <c r="H35" s="17">
        <f t="shared" si="9"/>
        <v>0</v>
      </c>
      <c r="I35" s="17">
        <f>SUM(I30:I34)</f>
        <v>196.45</v>
      </c>
      <c r="J35" s="17">
        <f t="shared" ref="J35:L35" si="10">SUM(J30:J34)</f>
        <v>40</v>
      </c>
      <c r="K35" s="17">
        <f t="shared" si="10"/>
        <v>0</v>
      </c>
      <c r="L35" s="17">
        <f t="shared" si="10"/>
        <v>4.8</v>
      </c>
      <c r="M35" s="17">
        <f>SUM(M30:M34)</f>
        <v>241.25</v>
      </c>
    </row>
    <row r="36" spans="1:16" x14ac:dyDescent="0.3">
      <c r="A36" s="10" t="s">
        <v>237</v>
      </c>
      <c r="B36" s="8" t="s">
        <v>41</v>
      </c>
      <c r="C36" s="9">
        <v>43490</v>
      </c>
      <c r="D36" s="10" t="s">
        <v>57</v>
      </c>
      <c r="E36" s="9">
        <v>43433</v>
      </c>
      <c r="F36" s="10" t="s">
        <v>239</v>
      </c>
      <c r="G36" s="11"/>
      <c r="H36" s="11"/>
      <c r="I36" s="11">
        <v>201</v>
      </c>
      <c r="J36" s="11">
        <v>0</v>
      </c>
      <c r="K36" s="11">
        <v>0</v>
      </c>
      <c r="L36" s="11"/>
      <c r="M36" s="11">
        <f t="shared" ref="M36:M38" si="11">SUM(G36:L36)</f>
        <v>201</v>
      </c>
      <c r="O36" s="59"/>
      <c r="P36" s="59"/>
    </row>
    <row r="37" spans="1:16" x14ac:dyDescent="0.3">
      <c r="A37" s="10" t="s">
        <v>237</v>
      </c>
      <c r="B37" s="8" t="s">
        <v>41</v>
      </c>
      <c r="C37" s="9">
        <v>43490</v>
      </c>
      <c r="D37" s="10" t="s">
        <v>37</v>
      </c>
      <c r="E37" s="9">
        <v>43783</v>
      </c>
      <c r="F37" s="10" t="s">
        <v>239</v>
      </c>
      <c r="G37" s="11"/>
      <c r="H37" s="11"/>
      <c r="I37" s="11">
        <v>158</v>
      </c>
      <c r="J37" s="11">
        <v>11.5</v>
      </c>
      <c r="K37" s="11">
        <v>5.8</v>
      </c>
      <c r="L37" s="11">
        <v>0</v>
      </c>
      <c r="M37" s="11">
        <f t="shared" si="11"/>
        <v>175.3</v>
      </c>
      <c r="O37" s="59"/>
      <c r="P37" s="59"/>
    </row>
    <row r="38" spans="1:16" x14ac:dyDescent="0.3">
      <c r="A38" s="10" t="s">
        <v>237</v>
      </c>
      <c r="B38" s="8" t="s">
        <v>41</v>
      </c>
      <c r="C38" s="9">
        <v>43531</v>
      </c>
      <c r="D38" s="10" t="s">
        <v>234</v>
      </c>
      <c r="E38" s="9">
        <v>43524</v>
      </c>
      <c r="F38" s="10" t="s">
        <v>239</v>
      </c>
      <c r="G38" s="11"/>
      <c r="H38" s="11"/>
      <c r="I38" s="11">
        <f>128.5</f>
        <v>128.5</v>
      </c>
      <c r="J38" s="11">
        <v>11.5</v>
      </c>
      <c r="K38" s="11">
        <v>0</v>
      </c>
      <c r="L38" s="11">
        <v>0</v>
      </c>
      <c r="M38" s="11">
        <f t="shared" si="11"/>
        <v>140</v>
      </c>
      <c r="O38" s="59"/>
      <c r="P38" s="59"/>
    </row>
    <row r="39" spans="1:16" x14ac:dyDescent="0.3">
      <c r="A39" s="10" t="s">
        <v>237</v>
      </c>
      <c r="B39" s="8" t="s">
        <v>41</v>
      </c>
      <c r="C39" s="9">
        <v>43507</v>
      </c>
      <c r="D39" s="10" t="s">
        <v>58</v>
      </c>
      <c r="E39" s="9">
        <v>43495</v>
      </c>
      <c r="F39" s="10" t="s">
        <v>260</v>
      </c>
      <c r="G39" s="11"/>
      <c r="H39" s="11"/>
      <c r="I39" s="11"/>
      <c r="J39" s="11"/>
      <c r="K39" s="11">
        <v>170.01</v>
      </c>
      <c r="L39" s="11">
        <v>0</v>
      </c>
      <c r="M39" s="11">
        <f t="shared" ref="M39" si="12">SUM(G39:L39)</f>
        <v>170.01</v>
      </c>
      <c r="O39" s="59"/>
      <c r="P39" s="59"/>
    </row>
    <row r="40" spans="1:16" x14ac:dyDescent="0.3">
      <c r="A40" s="12" t="s">
        <v>238</v>
      </c>
      <c r="B40" s="13" t="s">
        <v>41</v>
      </c>
      <c r="C40" s="14"/>
      <c r="D40" s="15"/>
      <c r="E40" s="16"/>
      <c r="F40" s="13"/>
      <c r="G40" s="17">
        <f t="shared" ref="G40:H40" si="13">SUBTOTAL(9,G36:G36)</f>
        <v>0</v>
      </c>
      <c r="H40" s="17">
        <f t="shared" si="13"/>
        <v>0</v>
      </c>
      <c r="I40" s="17">
        <f>SUBTOTAL(9,I36:I39)</f>
        <v>487.5</v>
      </c>
      <c r="J40" s="17">
        <f>SUBTOTAL(9,J36:J39)</f>
        <v>23</v>
      </c>
      <c r="K40" s="17">
        <f>SUBTOTAL(9,K36:K39)</f>
        <v>175.81</v>
      </c>
      <c r="L40" s="17">
        <f t="shared" ref="L40" si="14">SUBTOTAL(9,L36:L39)</f>
        <v>0</v>
      </c>
      <c r="M40" s="17">
        <f>SUBTOTAL(9,M36:M39)</f>
        <v>686.31</v>
      </c>
    </row>
    <row r="41" spans="1:16" x14ac:dyDescent="0.3">
      <c r="A41" s="10" t="s">
        <v>242</v>
      </c>
      <c r="B41" s="8" t="s">
        <v>41</v>
      </c>
      <c r="C41" s="9">
        <v>43524</v>
      </c>
      <c r="D41" s="10" t="s">
        <v>253</v>
      </c>
      <c r="E41" s="9">
        <v>43439</v>
      </c>
      <c r="F41" s="10" t="s">
        <v>244</v>
      </c>
      <c r="G41" s="11"/>
      <c r="H41" s="11"/>
      <c r="I41" s="11">
        <v>231.5</v>
      </c>
      <c r="J41" s="11">
        <v>0</v>
      </c>
      <c r="K41" s="11">
        <v>0</v>
      </c>
      <c r="L41" s="11"/>
      <c r="M41" s="11">
        <f t="shared" ref="M41:M43" si="15">SUM(G41:L41)</f>
        <v>231.5</v>
      </c>
      <c r="O41" s="59"/>
      <c r="P41" s="59"/>
    </row>
    <row r="42" spans="1:16" x14ac:dyDescent="0.3">
      <c r="A42" s="10" t="s">
        <v>242</v>
      </c>
      <c r="B42" s="8" t="s">
        <v>41</v>
      </c>
      <c r="C42" s="9">
        <v>43472</v>
      </c>
      <c r="D42" s="10" t="s">
        <v>57</v>
      </c>
      <c r="E42" s="9">
        <v>43447</v>
      </c>
      <c r="F42" s="10" t="s">
        <v>244</v>
      </c>
      <c r="G42" s="11"/>
      <c r="H42" s="11"/>
      <c r="I42" s="11">
        <v>217.5</v>
      </c>
      <c r="J42" s="11">
        <v>0</v>
      </c>
      <c r="K42" s="11">
        <v>0</v>
      </c>
      <c r="L42" s="11">
        <v>0</v>
      </c>
      <c r="M42" s="11">
        <f t="shared" si="15"/>
        <v>217.5</v>
      </c>
      <c r="O42" s="59"/>
      <c r="P42" s="59"/>
    </row>
    <row r="43" spans="1:16" x14ac:dyDescent="0.3">
      <c r="A43" s="10" t="s">
        <v>242</v>
      </c>
      <c r="B43" s="8" t="s">
        <v>41</v>
      </c>
      <c r="C43" s="9">
        <v>43507</v>
      </c>
      <c r="D43" s="10" t="s">
        <v>58</v>
      </c>
      <c r="E43" s="9">
        <v>43495</v>
      </c>
      <c r="F43" s="10" t="s">
        <v>260</v>
      </c>
      <c r="G43" s="11"/>
      <c r="H43" s="11"/>
      <c r="I43" s="11"/>
      <c r="J43" s="11"/>
      <c r="K43" s="11">
        <v>170.01</v>
      </c>
      <c r="L43" s="11">
        <v>0</v>
      </c>
      <c r="M43" s="11">
        <f t="shared" si="15"/>
        <v>170.01</v>
      </c>
      <c r="O43" s="59"/>
      <c r="P43" s="59"/>
    </row>
    <row r="44" spans="1:16" x14ac:dyDescent="0.3">
      <c r="A44" s="10" t="s">
        <v>242</v>
      </c>
      <c r="B44" s="8" t="s">
        <v>41</v>
      </c>
      <c r="C44" s="9">
        <v>43507</v>
      </c>
      <c r="D44" s="10" t="s">
        <v>57</v>
      </c>
      <c r="E44" s="9">
        <v>43524</v>
      </c>
      <c r="F44" s="10" t="s">
        <v>244</v>
      </c>
      <c r="G44" s="11"/>
      <c r="H44" s="11"/>
      <c r="I44" s="11">
        <v>287</v>
      </c>
      <c r="J44" s="11">
        <v>0</v>
      </c>
      <c r="K44" s="11">
        <v>0</v>
      </c>
      <c r="L44" s="11">
        <v>0</v>
      </c>
      <c r="M44" s="11">
        <f t="shared" ref="M44" si="16">SUM(G44:L44)</f>
        <v>287</v>
      </c>
      <c r="O44" s="59"/>
      <c r="P44" s="59"/>
    </row>
    <row r="45" spans="1:16" x14ac:dyDescent="0.3">
      <c r="A45" s="10" t="s">
        <v>242</v>
      </c>
      <c r="B45" s="8" t="s">
        <v>41</v>
      </c>
      <c r="C45" s="9">
        <v>43507</v>
      </c>
      <c r="D45" s="10" t="s">
        <v>57</v>
      </c>
      <c r="E45" s="9">
        <v>43494</v>
      </c>
      <c r="F45" s="10" t="s">
        <v>244</v>
      </c>
      <c r="G45" s="11"/>
      <c r="H45" s="11"/>
      <c r="I45" s="11">
        <v>160</v>
      </c>
      <c r="J45" s="11">
        <v>0</v>
      </c>
      <c r="K45" s="11">
        <v>0</v>
      </c>
      <c r="L45" s="11">
        <v>0</v>
      </c>
      <c r="M45" s="11">
        <f t="shared" ref="M45" si="17">SUM(G45:L45)</f>
        <v>160</v>
      </c>
      <c r="O45" s="59"/>
      <c r="P45" s="59"/>
    </row>
    <row r="46" spans="1:16" x14ac:dyDescent="0.3">
      <c r="A46" s="12" t="s">
        <v>243</v>
      </c>
      <c r="B46" s="13" t="s">
        <v>41</v>
      </c>
      <c r="C46" s="14"/>
      <c r="D46" s="15"/>
      <c r="E46" s="16"/>
      <c r="F46" s="13"/>
      <c r="G46" s="17">
        <f t="shared" ref="G46:H46" si="18">SUBTOTAL(9,G41:G41)</f>
        <v>0</v>
      </c>
      <c r="H46" s="17">
        <f t="shared" si="18"/>
        <v>0</v>
      </c>
      <c r="I46" s="17">
        <f>SUBTOTAL(9,I41:I45)</f>
        <v>896</v>
      </c>
      <c r="J46" s="17">
        <f t="shared" ref="J46:L46" si="19">SUBTOTAL(9,J41:J45)</f>
        <v>0</v>
      </c>
      <c r="K46" s="17">
        <f t="shared" si="19"/>
        <v>170.01</v>
      </c>
      <c r="L46" s="17">
        <f t="shared" si="19"/>
        <v>0</v>
      </c>
      <c r="M46" s="17">
        <f>SUBTOTAL(9,M41:M45)</f>
        <v>1066.01</v>
      </c>
    </row>
    <row r="47" spans="1:16" x14ac:dyDescent="0.3">
      <c r="A47" s="8" t="s">
        <v>51</v>
      </c>
      <c r="B47" s="8" t="s">
        <v>41</v>
      </c>
      <c r="C47" s="9">
        <v>43472</v>
      </c>
      <c r="D47" s="10" t="s">
        <v>57</v>
      </c>
      <c r="E47" s="9">
        <v>43448</v>
      </c>
      <c r="F47" s="24" t="s">
        <v>54</v>
      </c>
      <c r="G47" s="11"/>
      <c r="H47" s="11"/>
      <c r="I47" s="11">
        <v>29.3</v>
      </c>
      <c r="J47" s="11">
        <v>0</v>
      </c>
      <c r="K47" s="11">
        <v>0</v>
      </c>
      <c r="L47" s="11">
        <v>0</v>
      </c>
      <c r="M47" s="11">
        <f>SUM(G47:L47)</f>
        <v>29.3</v>
      </c>
      <c r="O47" s="59"/>
      <c r="P47" s="59"/>
    </row>
    <row r="48" spans="1:16" x14ac:dyDescent="0.3">
      <c r="A48" s="10" t="s">
        <v>51</v>
      </c>
      <c r="B48" s="8" t="s">
        <v>41</v>
      </c>
      <c r="C48" s="9">
        <v>43472</v>
      </c>
      <c r="D48" s="10" t="s">
        <v>57</v>
      </c>
      <c r="E48" s="9">
        <v>43448</v>
      </c>
      <c r="F48" s="24" t="s">
        <v>258</v>
      </c>
      <c r="G48" s="11"/>
      <c r="H48" s="11"/>
      <c r="I48" s="11">
        <v>71.7</v>
      </c>
      <c r="J48" s="11"/>
      <c r="K48" s="11">
        <v>0</v>
      </c>
      <c r="L48" s="11"/>
      <c r="M48" s="11">
        <f t="shared" ref="M48:M59" si="20">SUM(G48:L48)</f>
        <v>71.7</v>
      </c>
      <c r="O48" s="59"/>
      <c r="P48" s="59"/>
    </row>
    <row r="49" spans="1:17" x14ac:dyDescent="0.3">
      <c r="A49" s="10" t="s">
        <v>51</v>
      </c>
      <c r="B49" s="8" t="s">
        <v>41</v>
      </c>
      <c r="C49" s="9">
        <v>43507</v>
      </c>
      <c r="D49" s="10" t="s">
        <v>57</v>
      </c>
      <c r="E49" s="8">
        <v>43524</v>
      </c>
      <c r="F49" s="24" t="s">
        <v>54</v>
      </c>
      <c r="G49" s="11"/>
      <c r="H49" s="11"/>
      <c r="I49" s="11">
        <v>30.2</v>
      </c>
      <c r="J49" s="11"/>
      <c r="K49" s="11"/>
      <c r="L49" s="11"/>
      <c r="M49" s="11">
        <f t="shared" si="20"/>
        <v>30.2</v>
      </c>
      <c r="O49" s="59"/>
      <c r="P49" s="59"/>
    </row>
    <row r="50" spans="1:17" x14ac:dyDescent="0.3">
      <c r="A50" s="10" t="s">
        <v>51</v>
      </c>
      <c r="B50" s="8" t="s">
        <v>41</v>
      </c>
      <c r="C50" s="9">
        <v>43507</v>
      </c>
      <c r="D50" s="10" t="s">
        <v>57</v>
      </c>
      <c r="E50" s="8">
        <v>43523</v>
      </c>
      <c r="F50" s="24" t="s">
        <v>54</v>
      </c>
      <c r="G50" s="11"/>
      <c r="H50" s="11"/>
      <c r="I50" s="11">
        <v>30.2</v>
      </c>
      <c r="J50" s="11"/>
      <c r="K50" s="11"/>
      <c r="L50" s="11"/>
      <c r="M50" s="11">
        <f t="shared" si="20"/>
        <v>30.2</v>
      </c>
      <c r="O50" s="59"/>
      <c r="P50" s="59"/>
    </row>
    <row r="51" spans="1:17" x14ac:dyDescent="0.3">
      <c r="A51" s="10" t="s">
        <v>51</v>
      </c>
      <c r="B51" s="8" t="s">
        <v>41</v>
      </c>
      <c r="C51" s="9">
        <v>43507</v>
      </c>
      <c r="D51" s="10" t="s">
        <v>57</v>
      </c>
      <c r="E51" s="8">
        <v>43501</v>
      </c>
      <c r="F51" s="24" t="s">
        <v>54</v>
      </c>
      <c r="G51" s="11"/>
      <c r="H51" s="11"/>
      <c r="I51" s="11">
        <v>57.7</v>
      </c>
      <c r="J51" s="11"/>
      <c r="K51" s="11"/>
      <c r="L51" s="11"/>
      <c r="M51" s="11">
        <f t="shared" si="20"/>
        <v>57.7</v>
      </c>
      <c r="O51" s="59"/>
      <c r="P51" s="59"/>
    </row>
    <row r="52" spans="1:17" x14ac:dyDescent="0.3">
      <c r="A52" s="10" t="s">
        <v>51</v>
      </c>
      <c r="B52" s="8" t="s">
        <v>41</v>
      </c>
      <c r="C52" s="9">
        <v>43507</v>
      </c>
      <c r="D52" s="10" t="s">
        <v>37</v>
      </c>
      <c r="E52" s="8">
        <v>47148</v>
      </c>
      <c r="F52" s="24" t="s">
        <v>54</v>
      </c>
      <c r="G52" s="11"/>
      <c r="H52" s="11"/>
      <c r="I52" s="11">
        <v>57.7</v>
      </c>
      <c r="J52" s="11"/>
      <c r="K52" s="11"/>
      <c r="L52" s="11"/>
      <c r="M52" s="11">
        <f t="shared" si="20"/>
        <v>57.7</v>
      </c>
      <c r="O52" s="59"/>
      <c r="P52" s="59"/>
    </row>
    <row r="53" spans="1:17" x14ac:dyDescent="0.3">
      <c r="A53" s="10" t="s">
        <v>51</v>
      </c>
      <c r="B53" s="8" t="s">
        <v>41</v>
      </c>
      <c r="C53" s="9">
        <v>43507</v>
      </c>
      <c r="D53" s="10" t="s">
        <v>57</v>
      </c>
      <c r="E53" s="8">
        <v>43496</v>
      </c>
      <c r="F53" s="24" t="s">
        <v>54</v>
      </c>
      <c r="G53" s="11"/>
      <c r="H53" s="11"/>
      <c r="I53" s="11">
        <v>57.7</v>
      </c>
      <c r="J53" s="11"/>
      <c r="K53" s="11"/>
      <c r="L53" s="11"/>
      <c r="M53" s="11">
        <f t="shared" si="20"/>
        <v>57.7</v>
      </c>
      <c r="O53" s="59"/>
      <c r="P53" s="59"/>
    </row>
    <row r="54" spans="1:17" x14ac:dyDescent="0.3">
      <c r="A54" s="10" t="s">
        <v>51</v>
      </c>
      <c r="B54" s="8" t="s">
        <v>41</v>
      </c>
      <c r="C54" s="9">
        <v>43532</v>
      </c>
      <c r="D54" s="10" t="s">
        <v>57</v>
      </c>
      <c r="E54" s="8">
        <v>43593</v>
      </c>
      <c r="F54" s="24" t="s">
        <v>54</v>
      </c>
      <c r="G54" s="11"/>
      <c r="H54" s="11"/>
      <c r="I54" s="11">
        <v>57.7</v>
      </c>
      <c r="J54" s="11"/>
      <c r="K54" s="11"/>
      <c r="L54" s="11"/>
      <c r="M54" s="11">
        <f t="shared" ref="M54:M55" si="21">SUM(G54:L54)</f>
        <v>57.7</v>
      </c>
      <c r="O54" s="59"/>
      <c r="P54" s="59"/>
    </row>
    <row r="55" spans="1:17" x14ac:dyDescent="0.3">
      <c r="A55" s="10" t="s">
        <v>51</v>
      </c>
      <c r="B55" s="8" t="s">
        <v>41</v>
      </c>
      <c r="C55" s="9">
        <v>43532</v>
      </c>
      <c r="D55" s="10" t="s">
        <v>57</v>
      </c>
      <c r="E55" s="8">
        <v>43580</v>
      </c>
      <c r="F55" s="24" t="s">
        <v>54</v>
      </c>
      <c r="G55" s="11"/>
      <c r="H55" s="11"/>
      <c r="I55" s="11">
        <v>57.7</v>
      </c>
      <c r="J55" s="11"/>
      <c r="K55" s="11"/>
      <c r="L55" s="11"/>
      <c r="M55" s="11">
        <f t="shared" si="21"/>
        <v>57.7</v>
      </c>
      <c r="O55" s="59"/>
      <c r="P55" s="59"/>
    </row>
    <row r="56" spans="1:17" x14ac:dyDescent="0.3">
      <c r="A56" s="10" t="s">
        <v>51</v>
      </c>
      <c r="B56" s="8" t="s">
        <v>41</v>
      </c>
      <c r="C56" s="9">
        <v>43532</v>
      </c>
      <c r="D56" s="10" t="s">
        <v>57</v>
      </c>
      <c r="E56" s="8">
        <v>43552</v>
      </c>
      <c r="F56" s="24" t="s">
        <v>54</v>
      </c>
      <c r="G56" s="11"/>
      <c r="H56" s="11"/>
      <c r="I56" s="11">
        <v>57.7</v>
      </c>
      <c r="J56" s="11"/>
      <c r="K56" s="11"/>
      <c r="L56" s="11"/>
      <c r="M56" s="11">
        <f t="shared" si="20"/>
        <v>57.7</v>
      </c>
      <c r="O56" s="59"/>
      <c r="P56" s="59"/>
    </row>
    <row r="57" spans="1:17" x14ac:dyDescent="0.3">
      <c r="A57" s="10" t="s">
        <v>51</v>
      </c>
      <c r="B57" s="8" t="s">
        <v>41</v>
      </c>
      <c r="C57" s="9">
        <v>43532</v>
      </c>
      <c r="D57" s="10" t="s">
        <v>37</v>
      </c>
      <c r="E57" s="8">
        <v>43537</v>
      </c>
      <c r="F57" s="24" t="s">
        <v>54</v>
      </c>
      <c r="G57" s="11"/>
      <c r="H57" s="11"/>
      <c r="I57" s="11">
        <v>57.7</v>
      </c>
      <c r="J57" s="11"/>
      <c r="K57" s="11"/>
      <c r="L57" s="11"/>
      <c r="M57" s="11">
        <f t="shared" ref="M57:M58" si="22">SUM(G57:L57)</f>
        <v>57.7</v>
      </c>
      <c r="O57" s="59"/>
      <c r="P57" s="59"/>
    </row>
    <row r="58" spans="1:17" x14ac:dyDescent="0.3">
      <c r="A58" s="10" t="s">
        <v>51</v>
      </c>
      <c r="B58" s="8" t="s">
        <v>41</v>
      </c>
      <c r="C58" s="9">
        <v>43532</v>
      </c>
      <c r="D58" s="10" t="s">
        <v>234</v>
      </c>
      <c r="E58" s="8">
        <v>43529</v>
      </c>
      <c r="F58" s="24" t="s">
        <v>54</v>
      </c>
      <c r="G58" s="11"/>
      <c r="H58" s="11"/>
      <c r="I58" s="11">
        <v>57.7</v>
      </c>
      <c r="J58" s="11"/>
      <c r="K58" s="11"/>
      <c r="L58" s="11"/>
      <c r="M58" s="11">
        <f t="shared" si="22"/>
        <v>57.7</v>
      </c>
      <c r="O58" s="59"/>
      <c r="P58" s="59"/>
    </row>
    <row r="59" spans="1:17" x14ac:dyDescent="0.3">
      <c r="A59" s="10" t="s">
        <v>51</v>
      </c>
      <c r="B59" s="8" t="s">
        <v>41</v>
      </c>
      <c r="C59" s="9">
        <v>43532</v>
      </c>
      <c r="D59" s="10" t="s">
        <v>57</v>
      </c>
      <c r="E59" s="8">
        <v>43523</v>
      </c>
      <c r="F59" s="24" t="s">
        <v>263</v>
      </c>
      <c r="G59" s="11"/>
      <c r="H59" s="11"/>
      <c r="I59" s="11">
        <v>30.2</v>
      </c>
      <c r="J59" s="11"/>
      <c r="K59" s="11"/>
      <c r="L59" s="11"/>
      <c r="M59" s="11">
        <f t="shared" si="20"/>
        <v>30.2</v>
      </c>
      <c r="O59" s="59"/>
      <c r="P59" s="59"/>
    </row>
    <row r="60" spans="1:17" x14ac:dyDescent="0.3">
      <c r="A60" s="12" t="s">
        <v>60</v>
      </c>
      <c r="B60" s="13"/>
      <c r="C60" s="16"/>
      <c r="D60" s="15"/>
      <c r="E60" s="16"/>
      <c r="F60" s="13"/>
      <c r="G60" s="17">
        <f t="shared" ref="G60:L60" si="23">SUBTOTAL(9,G47:G59)</f>
        <v>0</v>
      </c>
      <c r="H60" s="17">
        <f t="shared" si="23"/>
        <v>0</v>
      </c>
      <c r="I60" s="17">
        <f>SUBTOTAL(9,I47:I59)</f>
        <v>653.20000000000005</v>
      </c>
      <c r="J60" s="17">
        <f t="shared" si="23"/>
        <v>0</v>
      </c>
      <c r="K60" s="17">
        <f t="shared" si="23"/>
        <v>0</v>
      </c>
      <c r="L60" s="17">
        <f t="shared" si="23"/>
        <v>0</v>
      </c>
      <c r="M60" s="17">
        <f>SUBTOTAL(9,M47:M59)</f>
        <v>653.20000000000005</v>
      </c>
    </row>
    <row r="61" spans="1:17" x14ac:dyDescent="0.3">
      <c r="A61" s="10" t="s">
        <v>61</v>
      </c>
      <c r="B61" s="10" t="s">
        <v>41</v>
      </c>
      <c r="C61" s="26">
        <v>43515</v>
      </c>
      <c r="D61" s="25" t="s">
        <v>174</v>
      </c>
      <c r="E61" s="9">
        <v>43500</v>
      </c>
      <c r="F61" s="25" t="s">
        <v>114</v>
      </c>
      <c r="G61" s="11"/>
      <c r="H61" s="11"/>
      <c r="I61" s="11">
        <v>72.599999999999994</v>
      </c>
      <c r="J61" s="11">
        <v>6.2</v>
      </c>
      <c r="K61" s="11">
        <v>0</v>
      </c>
      <c r="L61" s="11">
        <v>0</v>
      </c>
      <c r="M61" s="11">
        <f>SUM(G61:L61)</f>
        <v>78.8</v>
      </c>
      <c r="O61" s="59"/>
      <c r="P61" s="59"/>
      <c r="Q61" s="27"/>
    </row>
    <row r="62" spans="1:17" x14ac:dyDescent="0.3">
      <c r="A62" s="12" t="s">
        <v>64</v>
      </c>
      <c r="B62" s="13"/>
      <c r="C62" s="14"/>
      <c r="D62" s="15"/>
      <c r="E62" s="16"/>
      <c r="F62" s="13"/>
      <c r="G62" s="17">
        <f t="shared" ref="G62:M62" si="24">SUBTOTAL(9,G61:G61)</f>
        <v>0</v>
      </c>
      <c r="H62" s="17">
        <f t="shared" si="24"/>
        <v>0</v>
      </c>
      <c r="I62" s="17">
        <f t="shared" si="24"/>
        <v>72.599999999999994</v>
      </c>
      <c r="J62" s="17">
        <f t="shared" si="24"/>
        <v>6.2</v>
      </c>
      <c r="K62" s="17">
        <f t="shared" si="24"/>
        <v>0</v>
      </c>
      <c r="L62" s="17">
        <f t="shared" si="24"/>
        <v>0</v>
      </c>
      <c r="M62" s="17">
        <f t="shared" si="24"/>
        <v>78.8</v>
      </c>
      <c r="Q62" s="27"/>
    </row>
    <row r="63" spans="1:17" x14ac:dyDescent="0.3">
      <c r="A63" s="10" t="s">
        <v>66</v>
      </c>
      <c r="B63" s="10" t="s">
        <v>41</v>
      </c>
      <c r="C63" s="26">
        <v>43507</v>
      </c>
      <c r="D63" s="10" t="s">
        <v>37</v>
      </c>
      <c r="E63" s="9">
        <v>43500</v>
      </c>
      <c r="F63" s="11" t="s">
        <v>115</v>
      </c>
      <c r="G63" s="11"/>
      <c r="H63" s="11">
        <v>0</v>
      </c>
      <c r="I63" s="11">
        <v>351</v>
      </c>
      <c r="J63" s="11">
        <v>0</v>
      </c>
      <c r="K63" s="11">
        <v>0</v>
      </c>
      <c r="L63" s="11">
        <v>0</v>
      </c>
      <c r="M63" s="11">
        <f>SUM(G63:L63)</f>
        <v>351</v>
      </c>
      <c r="O63" s="59"/>
      <c r="P63" s="59"/>
    </row>
    <row r="64" spans="1:17" x14ac:dyDescent="0.3">
      <c r="A64" s="10" t="s">
        <v>66</v>
      </c>
      <c r="B64" s="10" t="s">
        <v>41</v>
      </c>
      <c r="C64" s="26">
        <v>43507</v>
      </c>
      <c r="D64" s="10" t="s">
        <v>37</v>
      </c>
      <c r="E64" s="9">
        <v>43495</v>
      </c>
      <c r="F64" s="11" t="s">
        <v>115</v>
      </c>
      <c r="G64" s="11"/>
      <c r="H64" s="11"/>
      <c r="I64" s="11">
        <v>351</v>
      </c>
      <c r="J64" s="11">
        <v>0</v>
      </c>
      <c r="K64" s="11">
        <v>0</v>
      </c>
      <c r="L64" s="11">
        <v>0</v>
      </c>
      <c r="M64" s="11">
        <f t="shared" ref="M64" si="25">SUM(G64:L64)</f>
        <v>351</v>
      </c>
      <c r="O64" s="59"/>
      <c r="P64" s="59"/>
    </row>
    <row r="65" spans="1:18" x14ac:dyDescent="0.3">
      <c r="A65" s="12" t="s">
        <v>71</v>
      </c>
      <c r="B65" s="13"/>
      <c r="C65" s="14"/>
      <c r="D65" s="15"/>
      <c r="E65" s="16"/>
      <c r="F65" s="13"/>
      <c r="G65" s="17">
        <f t="shared" ref="G65:M65" si="26">SUBTOTAL(9,G63:G64)</f>
        <v>0</v>
      </c>
      <c r="H65" s="17">
        <f t="shared" si="26"/>
        <v>0</v>
      </c>
      <c r="I65" s="17">
        <f t="shared" si="26"/>
        <v>702</v>
      </c>
      <c r="J65" s="17">
        <f t="shared" si="26"/>
        <v>0</v>
      </c>
      <c r="K65" s="17">
        <f t="shared" si="26"/>
        <v>0</v>
      </c>
      <c r="L65" s="17">
        <f t="shared" si="26"/>
        <v>0</v>
      </c>
      <c r="M65" s="17">
        <f t="shared" si="26"/>
        <v>702</v>
      </c>
    </row>
    <row r="66" spans="1:18" x14ac:dyDescent="0.3">
      <c r="A66" s="10" t="s">
        <v>117</v>
      </c>
      <c r="B66" s="10" t="s">
        <v>41</v>
      </c>
      <c r="C66" s="26">
        <v>43508</v>
      </c>
      <c r="D66" s="26" t="s">
        <v>251</v>
      </c>
      <c r="E66" s="9">
        <v>43439</v>
      </c>
      <c r="F66" s="11" t="s">
        <v>141</v>
      </c>
      <c r="G66" s="11"/>
      <c r="H66" s="11"/>
      <c r="I66" s="11">
        <v>70.599999999999994</v>
      </c>
      <c r="J66" s="11">
        <v>4.5</v>
      </c>
      <c r="K66" s="11">
        <v>225.5</v>
      </c>
      <c r="L66" s="11"/>
      <c r="M66" s="11">
        <f>SUM(G66:L66)</f>
        <v>300.60000000000002</v>
      </c>
      <c r="O66" s="59"/>
      <c r="P66" s="59"/>
    </row>
    <row r="67" spans="1:18" x14ac:dyDescent="0.3">
      <c r="A67" s="10" t="s">
        <v>117</v>
      </c>
      <c r="B67" s="10" t="s">
        <v>41</v>
      </c>
      <c r="C67" s="26">
        <v>43508</v>
      </c>
      <c r="D67" s="26" t="s">
        <v>251</v>
      </c>
      <c r="E67" s="9">
        <v>43439</v>
      </c>
      <c r="F67" s="11" t="s">
        <v>141</v>
      </c>
      <c r="G67" s="11"/>
      <c r="H67" s="11"/>
      <c r="I67" s="11">
        <v>0</v>
      </c>
      <c r="J67" s="11">
        <v>0</v>
      </c>
      <c r="K67" s="11">
        <v>14.2</v>
      </c>
      <c r="L67" s="11">
        <v>0</v>
      </c>
      <c r="M67" s="11">
        <f t="shared" ref="M67:M70" si="27">SUM(G67:L67)</f>
        <v>14.2</v>
      </c>
      <c r="O67" s="59"/>
      <c r="P67" s="59"/>
    </row>
    <row r="68" spans="1:18" x14ac:dyDescent="0.3">
      <c r="A68" s="10" t="s">
        <v>117</v>
      </c>
      <c r="B68" s="10" t="s">
        <v>41</v>
      </c>
      <c r="C68" s="26">
        <v>43546</v>
      </c>
      <c r="D68" s="26" t="s">
        <v>57</v>
      </c>
      <c r="E68" s="9">
        <v>43524</v>
      </c>
      <c r="F68" s="11" t="s">
        <v>141</v>
      </c>
      <c r="G68" s="11"/>
      <c r="H68" s="11"/>
      <c r="I68" s="11">
        <v>78.099999999999994</v>
      </c>
      <c r="J68" s="11">
        <v>5.7</v>
      </c>
      <c r="K68" s="11">
        <v>0</v>
      </c>
      <c r="L68" s="11">
        <v>0</v>
      </c>
      <c r="M68" s="11">
        <f t="shared" si="27"/>
        <v>83.8</v>
      </c>
      <c r="O68" s="59"/>
      <c r="P68" s="59"/>
    </row>
    <row r="69" spans="1:18" x14ac:dyDescent="0.3">
      <c r="A69" s="10" t="s">
        <v>117</v>
      </c>
      <c r="B69" s="10" t="s">
        <v>41</v>
      </c>
      <c r="C69" s="26">
        <v>43551</v>
      </c>
      <c r="D69" s="26" t="s">
        <v>255</v>
      </c>
      <c r="E69" s="9">
        <v>43496</v>
      </c>
      <c r="F69" s="11" t="s">
        <v>141</v>
      </c>
      <c r="G69" s="11"/>
      <c r="H69" s="11"/>
      <c r="I69" s="11">
        <f>72.8+4.5</f>
        <v>77.3</v>
      </c>
      <c r="J69" s="11">
        <v>0</v>
      </c>
      <c r="K69" s="11">
        <f>145+10.8</f>
        <v>155.80000000000001</v>
      </c>
      <c r="L69" s="11"/>
      <c r="M69" s="11">
        <f t="shared" si="27"/>
        <v>233.10000000000002</v>
      </c>
      <c r="O69" s="59"/>
      <c r="P69" s="59"/>
    </row>
    <row r="70" spans="1:18" x14ac:dyDescent="0.3">
      <c r="A70" s="10" t="s">
        <v>117</v>
      </c>
      <c r="B70" s="10" t="s">
        <v>41</v>
      </c>
      <c r="C70" s="26">
        <v>43551</v>
      </c>
      <c r="D70" s="25" t="s">
        <v>37</v>
      </c>
      <c r="E70" s="9">
        <v>43537</v>
      </c>
      <c r="F70" s="11" t="s">
        <v>141</v>
      </c>
      <c r="G70" s="11"/>
      <c r="H70" s="11"/>
      <c r="I70" s="11">
        <v>78.099999999999994</v>
      </c>
      <c r="J70" s="11">
        <v>5.7</v>
      </c>
      <c r="K70" s="11"/>
      <c r="L70" s="11">
        <v>0</v>
      </c>
      <c r="M70" s="11">
        <f t="shared" si="27"/>
        <v>83.8</v>
      </c>
      <c r="O70" s="59"/>
      <c r="P70" s="59"/>
    </row>
    <row r="71" spans="1:18" x14ac:dyDescent="0.3">
      <c r="A71" s="12" t="s">
        <v>120</v>
      </c>
      <c r="B71" s="13"/>
      <c r="C71" s="14"/>
      <c r="D71" s="15"/>
      <c r="E71" s="16"/>
      <c r="F71" s="13"/>
      <c r="G71" s="17">
        <f t="shared" ref="G71:M71" si="28">SUBTOTAL(9,G66:G70)</f>
        <v>0</v>
      </c>
      <c r="H71" s="17">
        <f t="shared" si="28"/>
        <v>0</v>
      </c>
      <c r="I71" s="17">
        <f t="shared" si="28"/>
        <v>304.10000000000002</v>
      </c>
      <c r="J71" s="17">
        <f t="shared" si="28"/>
        <v>15.899999999999999</v>
      </c>
      <c r="K71" s="17">
        <f t="shared" si="28"/>
        <v>395.5</v>
      </c>
      <c r="L71" s="17">
        <f t="shared" si="28"/>
        <v>0</v>
      </c>
      <c r="M71" s="17">
        <f t="shared" si="28"/>
        <v>715.5</v>
      </c>
    </row>
    <row r="72" spans="1:18" x14ac:dyDescent="0.3">
      <c r="A72" s="10" t="s">
        <v>81</v>
      </c>
      <c r="B72" s="10" t="s">
        <v>41</v>
      </c>
      <c r="C72" s="9">
        <v>43507</v>
      </c>
      <c r="D72" s="26" t="s">
        <v>250</v>
      </c>
      <c r="E72" s="9">
        <v>43448</v>
      </c>
      <c r="F72" s="11" t="s">
        <v>83</v>
      </c>
      <c r="G72" s="11"/>
      <c r="H72" s="11"/>
      <c r="I72" s="11">
        <v>57.95</v>
      </c>
      <c r="J72" s="11">
        <v>8</v>
      </c>
      <c r="K72" s="11">
        <v>0</v>
      </c>
      <c r="L72" s="11"/>
      <c r="M72" s="11">
        <f t="shared" ref="M72" si="29">SUM(G72:L72)</f>
        <v>65.95</v>
      </c>
      <c r="O72" s="59"/>
      <c r="P72" s="59"/>
    </row>
    <row r="73" spans="1:18" x14ac:dyDescent="0.3">
      <c r="A73" s="10" t="s">
        <v>81</v>
      </c>
      <c r="B73" s="10" t="s">
        <v>41</v>
      </c>
      <c r="C73" s="9"/>
      <c r="D73" s="26" t="s">
        <v>37</v>
      </c>
      <c r="E73" s="9"/>
      <c r="F73" s="11" t="s">
        <v>83</v>
      </c>
      <c r="G73" s="11"/>
      <c r="H73" s="11"/>
      <c r="I73" s="11">
        <v>0</v>
      </c>
      <c r="J73" s="11">
        <v>0</v>
      </c>
      <c r="K73" s="11"/>
      <c r="L73" s="11"/>
      <c r="M73" s="11">
        <f t="shared" ref="M73:M74" si="30">SUM(G73:L73)</f>
        <v>0</v>
      </c>
      <c r="O73" s="59"/>
      <c r="P73" s="59"/>
    </row>
    <row r="74" spans="1:18" x14ac:dyDescent="0.3">
      <c r="A74" s="10" t="s">
        <v>81</v>
      </c>
      <c r="B74" s="10" t="s">
        <v>41</v>
      </c>
      <c r="C74" s="26"/>
      <c r="D74" s="26" t="s">
        <v>193</v>
      </c>
      <c r="E74" s="9"/>
      <c r="F74" s="11" t="s">
        <v>83</v>
      </c>
      <c r="G74" s="11"/>
      <c r="H74" s="11"/>
      <c r="I74" s="11">
        <v>0</v>
      </c>
      <c r="J74" s="11">
        <v>0</v>
      </c>
      <c r="K74" s="11"/>
      <c r="L74" s="11"/>
      <c r="M74" s="11">
        <f t="shared" si="30"/>
        <v>0</v>
      </c>
      <c r="O74" s="59"/>
      <c r="P74" s="59"/>
    </row>
    <row r="75" spans="1:18" x14ac:dyDescent="0.3">
      <c r="A75" s="12" t="s">
        <v>192</v>
      </c>
      <c r="B75" s="13" t="s">
        <v>41</v>
      </c>
      <c r="C75" s="14"/>
      <c r="D75" s="15"/>
      <c r="E75" s="16"/>
      <c r="F75" s="13"/>
      <c r="G75" s="17">
        <f t="shared" ref="G75:L75" si="31">SUBTOTAL(9,G72:G74)</f>
        <v>0</v>
      </c>
      <c r="H75" s="17">
        <f t="shared" si="31"/>
        <v>0</v>
      </c>
      <c r="I75" s="17">
        <f t="shared" si="31"/>
        <v>57.95</v>
      </c>
      <c r="J75" s="17">
        <f t="shared" si="31"/>
        <v>8</v>
      </c>
      <c r="K75" s="17">
        <f t="shared" si="31"/>
        <v>0</v>
      </c>
      <c r="L75" s="17">
        <f t="shared" si="31"/>
        <v>0</v>
      </c>
      <c r="M75" s="17">
        <f>SUBTOTAL(9,M72:M74)</f>
        <v>65.95</v>
      </c>
    </row>
    <row r="76" spans="1:18" ht="17.25" thickBot="1" x14ac:dyDescent="0.35">
      <c r="A76" s="29"/>
      <c r="B76" s="29"/>
      <c r="C76" s="30"/>
      <c r="D76" s="29"/>
      <c r="E76" s="29"/>
      <c r="F76" s="31"/>
      <c r="G76" s="32">
        <f>G7+G9+G24+G29+G35+G40+G46+G60+G62+G65+G71+G75</f>
        <v>258.5</v>
      </c>
      <c r="H76" s="32">
        <f t="shared" ref="H76:M76" si="32">H7+H9+H24+H29+H35+H40+H46+H60+H62+H65+H71+H75</f>
        <v>0</v>
      </c>
      <c r="I76" s="32">
        <f t="shared" si="32"/>
        <v>6435</v>
      </c>
      <c r="J76" s="32">
        <f t="shared" si="32"/>
        <v>483.2</v>
      </c>
      <c r="K76" s="32">
        <f t="shared" si="32"/>
        <v>1523.3799999999999</v>
      </c>
      <c r="L76" s="32">
        <f t="shared" si="32"/>
        <v>4.8</v>
      </c>
      <c r="M76" s="32">
        <f t="shared" si="32"/>
        <v>8704.880000000001</v>
      </c>
      <c r="O76" s="59"/>
    </row>
    <row r="77" spans="1:18" ht="17.25" thickTop="1" x14ac:dyDescent="0.3">
      <c r="A77" s="33"/>
      <c r="B77" s="33"/>
      <c r="C77" s="34"/>
      <c r="D77" s="33"/>
      <c r="E77" s="33"/>
      <c r="F77" s="33"/>
      <c r="G77" s="35"/>
      <c r="H77" s="35"/>
      <c r="I77" s="35"/>
      <c r="J77" s="35"/>
      <c r="K77" s="35"/>
      <c r="L77" s="35"/>
      <c r="M77" s="35"/>
      <c r="O77" s="36"/>
      <c r="R77" s="37"/>
    </row>
    <row r="78" spans="1:18" x14ac:dyDescent="0.3">
      <c r="E78" s="38"/>
      <c r="F78" s="38"/>
      <c r="G78" s="59"/>
      <c r="L78" s="36"/>
      <c r="N78" s="36"/>
      <c r="O78" s="36"/>
    </row>
    <row r="79" spans="1:18" ht="17.25" thickBot="1" x14ac:dyDescent="0.35">
      <c r="A79" s="33"/>
      <c r="B79" s="33"/>
      <c r="C79" s="34"/>
      <c r="D79" s="33"/>
      <c r="E79" s="33"/>
      <c r="F79" s="33"/>
      <c r="G79" s="35"/>
      <c r="H79" s="35"/>
      <c r="I79" s="35"/>
      <c r="J79" s="35"/>
      <c r="K79" s="35"/>
      <c r="L79" s="35"/>
      <c r="M79" s="35"/>
      <c r="O79" s="36"/>
    </row>
    <row r="80" spans="1:18" ht="17.25" thickBot="1" x14ac:dyDescent="0.35">
      <c r="A80" s="33"/>
      <c r="B80" s="33"/>
      <c r="C80" s="33"/>
      <c r="D80" s="33"/>
      <c r="E80" s="33"/>
      <c r="F80" s="39" t="s">
        <v>86</v>
      </c>
      <c r="G80" s="40"/>
      <c r="H80" s="40"/>
      <c r="I80" s="40"/>
      <c r="J80" s="40"/>
      <c r="K80" s="40"/>
      <c r="L80" s="40"/>
      <c r="M80" s="41"/>
    </row>
    <row r="81" spans="1:14" ht="52.5" x14ac:dyDescent="0.3">
      <c r="A81" s="33"/>
      <c r="B81" s="33"/>
      <c r="C81" s="33"/>
      <c r="D81" s="33"/>
      <c r="E81" s="33"/>
      <c r="F81" s="42"/>
      <c r="G81" s="43" t="s">
        <v>7</v>
      </c>
      <c r="H81" s="44" t="s">
        <v>87</v>
      </c>
      <c r="I81" s="44" t="s">
        <v>88</v>
      </c>
      <c r="J81" s="44" t="s">
        <v>89</v>
      </c>
      <c r="K81" s="44" t="s">
        <v>11</v>
      </c>
      <c r="L81" s="44" t="s">
        <v>12</v>
      </c>
      <c r="M81" s="45" t="s">
        <v>90</v>
      </c>
    </row>
    <row r="82" spans="1:14" x14ac:dyDescent="0.3">
      <c r="A82" s="33"/>
      <c r="B82" s="33"/>
      <c r="C82" s="46"/>
      <c r="D82" s="33"/>
      <c r="E82" s="33"/>
      <c r="F82" s="47" t="s">
        <v>91</v>
      </c>
      <c r="G82" s="48">
        <f>G76-G83</f>
        <v>85.94</v>
      </c>
      <c r="H82" s="48">
        <f t="shared" ref="H82:M82" si="33">H76-H83</f>
        <v>0</v>
      </c>
      <c r="I82" s="48">
        <f t="shared" si="33"/>
        <v>6173.6</v>
      </c>
      <c r="J82" s="48">
        <f t="shared" si="33"/>
        <v>483.2</v>
      </c>
      <c r="K82" s="48">
        <f t="shared" si="33"/>
        <v>1303.4799999999998</v>
      </c>
      <c r="L82" s="48">
        <f t="shared" si="33"/>
        <v>4.8</v>
      </c>
      <c r="M82" s="48">
        <f t="shared" si="33"/>
        <v>8051.0200000000013</v>
      </c>
    </row>
    <row r="83" spans="1:14" x14ac:dyDescent="0.3">
      <c r="A83" s="33"/>
      <c r="B83" s="33"/>
      <c r="C83" s="46"/>
      <c r="D83" s="33"/>
      <c r="E83" s="33"/>
      <c r="F83" s="47" t="s">
        <v>92</v>
      </c>
      <c r="G83" s="48">
        <f t="shared" ref="G83:H83" si="34">G7+G9</f>
        <v>172.56</v>
      </c>
      <c r="H83" s="48">
        <f t="shared" si="34"/>
        <v>0</v>
      </c>
      <c r="I83" s="48">
        <f>I7+I9</f>
        <v>261.39999999999998</v>
      </c>
      <c r="J83" s="48">
        <f t="shared" ref="J83:L83" si="35">J7+J9</f>
        <v>0</v>
      </c>
      <c r="K83" s="48">
        <f t="shared" si="35"/>
        <v>219.9</v>
      </c>
      <c r="L83" s="48">
        <f t="shared" si="35"/>
        <v>0</v>
      </c>
      <c r="M83" s="48">
        <f>SUM(G83:L83)</f>
        <v>653.86</v>
      </c>
    </row>
    <row r="84" spans="1:14" x14ac:dyDescent="0.3">
      <c r="A84" s="33"/>
      <c r="B84" s="33"/>
      <c r="C84" s="46"/>
      <c r="D84" s="33"/>
      <c r="E84" s="33"/>
      <c r="F84" s="49" t="s">
        <v>93</v>
      </c>
      <c r="G84" s="50">
        <f t="shared" ref="G84:L84" si="36">SUM(G82:G83)</f>
        <v>258.5</v>
      </c>
      <c r="H84" s="50">
        <f t="shared" si="36"/>
        <v>0</v>
      </c>
      <c r="I84" s="50">
        <f t="shared" si="36"/>
        <v>6435</v>
      </c>
      <c r="J84" s="50">
        <f t="shared" si="36"/>
        <v>483.2</v>
      </c>
      <c r="K84" s="50">
        <f t="shared" si="36"/>
        <v>1523.3799999999999</v>
      </c>
      <c r="L84" s="50">
        <f t="shared" si="36"/>
        <v>4.8</v>
      </c>
      <c r="M84" s="51">
        <f>SUM(G84:L84)</f>
        <v>8704.8799999999992</v>
      </c>
      <c r="N84" s="52"/>
    </row>
    <row r="85" spans="1:14" x14ac:dyDescent="0.3">
      <c r="A85" s="33"/>
      <c r="B85" s="33"/>
      <c r="C85" s="46"/>
      <c r="D85" s="33"/>
      <c r="E85" s="33"/>
      <c r="F85" s="47" t="s">
        <v>94</v>
      </c>
      <c r="G85" s="53" t="s">
        <v>95</v>
      </c>
      <c r="H85" s="53"/>
      <c r="I85" s="53" t="s">
        <v>95</v>
      </c>
      <c r="J85" s="53" t="s">
        <v>95</v>
      </c>
      <c r="K85" s="53" t="s">
        <v>95</v>
      </c>
      <c r="L85" s="53" t="s">
        <v>95</v>
      </c>
      <c r="M85" s="48">
        <f>SUM(G85:L85)</f>
        <v>0</v>
      </c>
    </row>
    <row r="86" spans="1:14" x14ac:dyDescent="0.3">
      <c r="A86" s="33"/>
      <c r="B86" s="33"/>
      <c r="C86" s="46"/>
      <c r="D86" s="33"/>
      <c r="E86" s="33"/>
      <c r="F86" s="47" t="s">
        <v>96</v>
      </c>
      <c r="G86" s="53" t="s">
        <v>95</v>
      </c>
      <c r="H86" s="54"/>
      <c r="I86" s="53" t="s">
        <v>95</v>
      </c>
      <c r="J86" s="53" t="s">
        <v>95</v>
      </c>
      <c r="K86" s="53" t="s">
        <v>95</v>
      </c>
      <c r="L86" s="53" t="s">
        <v>95</v>
      </c>
      <c r="M86" s="48">
        <f>SUM(G86:L86)</f>
        <v>0</v>
      </c>
    </row>
    <row r="87" spans="1:14" ht="17.25" thickBot="1" x14ac:dyDescent="0.35">
      <c r="A87" s="33"/>
      <c r="B87" s="33"/>
      <c r="C87" s="46"/>
      <c r="D87" s="33"/>
      <c r="E87" s="33"/>
      <c r="F87" s="55" t="s">
        <v>97</v>
      </c>
      <c r="G87" s="56">
        <f t="shared" ref="G87:L87" si="37">SUM(G84:G86)</f>
        <v>258.5</v>
      </c>
      <c r="H87" s="56">
        <f t="shared" si="37"/>
        <v>0</v>
      </c>
      <c r="I87" s="56">
        <f t="shared" si="37"/>
        <v>6435</v>
      </c>
      <c r="J87" s="56">
        <f t="shared" si="37"/>
        <v>483.2</v>
      </c>
      <c r="K87" s="56">
        <f t="shared" si="37"/>
        <v>1523.3799999999999</v>
      </c>
      <c r="L87" s="56">
        <f t="shared" si="37"/>
        <v>4.8</v>
      </c>
      <c r="M87" s="57">
        <f>SUM(G87:L87)</f>
        <v>8704.8799999999992</v>
      </c>
    </row>
    <row r="88" spans="1:14" x14ac:dyDescent="0.3">
      <c r="A88" s="33"/>
      <c r="B88" s="33"/>
      <c r="C88" s="33"/>
      <c r="D88" s="33"/>
      <c r="E88" s="33"/>
      <c r="F88" s="33"/>
      <c r="G88" s="35"/>
      <c r="H88" s="35"/>
      <c r="I88" s="35"/>
      <c r="J88" s="35"/>
      <c r="K88" s="35"/>
      <c r="L88" s="35"/>
      <c r="M88" s="35"/>
    </row>
  </sheetData>
  <pageMargins left="0.7" right="0.7" top="0.75" bottom="0.75" header="0.3" footer="0.3"/>
  <pageSetup paperSize="9" orientation="portrait" verticalDpi="1200" r:id="rId1"/>
  <ignoredErrors>
    <ignoredError sqref="M3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B967-E165-4E4E-A123-578BDD1F7F9E}">
  <dimension ref="B2:S57"/>
  <sheetViews>
    <sheetView tabSelected="1" topLeftCell="A25" workbookViewId="0">
      <selection activeCell="J49" sqref="J49"/>
    </sheetView>
  </sheetViews>
  <sheetFormatPr defaultRowHeight="15" x14ac:dyDescent="0.25"/>
  <cols>
    <col min="3" max="3" width="26.140625" bestFit="1" customWidth="1"/>
    <col min="12" max="12" width="27.5703125" hidden="1" customWidth="1"/>
    <col min="13" max="13" width="10.140625" hidden="1" customWidth="1"/>
    <col min="14" max="14" width="9.5703125" hidden="1" customWidth="1"/>
    <col min="15" max="15" width="10.140625" hidden="1" customWidth="1"/>
    <col min="16" max="16" width="10.7109375" hidden="1" customWidth="1"/>
    <col min="17" max="17" width="8.5703125" hidden="1" customWidth="1"/>
    <col min="18" max="19" width="0" hidden="1" customWidth="1"/>
  </cols>
  <sheetData>
    <row r="2" spans="2:19" ht="15.75" thickBot="1" x14ac:dyDescent="0.3">
      <c r="C2" s="60" t="s">
        <v>270</v>
      </c>
      <c r="L2" s="60" t="s">
        <v>271</v>
      </c>
    </row>
    <row r="3" spans="2:19" ht="15.75" thickBot="1" x14ac:dyDescent="0.3">
      <c r="B3" t="s">
        <v>278</v>
      </c>
      <c r="C3" s="39" t="s">
        <v>86</v>
      </c>
      <c r="D3" s="40"/>
      <c r="E3" s="40"/>
      <c r="F3" s="40"/>
      <c r="G3" s="40"/>
      <c r="H3" s="40"/>
      <c r="I3" s="40"/>
      <c r="J3" s="41"/>
      <c r="L3" s="39" t="s">
        <v>86</v>
      </c>
      <c r="M3" s="40"/>
      <c r="N3" s="40"/>
      <c r="O3" s="40"/>
      <c r="P3" s="40"/>
      <c r="Q3" s="40"/>
      <c r="R3" s="40"/>
      <c r="S3" s="41"/>
    </row>
    <row r="4" spans="2:19" ht="51.75" x14ac:dyDescent="0.25">
      <c r="C4" s="42"/>
      <c r="D4" s="43" t="s">
        <v>7</v>
      </c>
      <c r="E4" s="44" t="s">
        <v>87</v>
      </c>
      <c r="F4" s="44" t="s">
        <v>88</v>
      </c>
      <c r="G4" s="44" t="s">
        <v>89</v>
      </c>
      <c r="H4" s="44" t="s">
        <v>11</v>
      </c>
      <c r="I4" s="44" t="s">
        <v>12</v>
      </c>
      <c r="J4" s="45" t="s">
        <v>90</v>
      </c>
      <c r="L4" s="42"/>
      <c r="M4" s="43" t="s">
        <v>7</v>
      </c>
      <c r="N4" s="44" t="s">
        <v>87</v>
      </c>
      <c r="O4" s="44" t="s">
        <v>88</v>
      </c>
      <c r="P4" s="44" t="s">
        <v>89</v>
      </c>
      <c r="Q4" s="44" t="s">
        <v>11</v>
      </c>
      <c r="R4" s="44" t="s">
        <v>12</v>
      </c>
      <c r="S4" s="45" t="s">
        <v>90</v>
      </c>
    </row>
    <row r="5" spans="2:19" x14ac:dyDescent="0.25">
      <c r="C5" s="47" t="s">
        <v>91</v>
      </c>
      <c r="D5" s="48">
        <f>'Apr - Jun 2018'!G67</f>
        <v>0</v>
      </c>
      <c r="E5" s="48">
        <f>'Apr - Jun 2018'!H67</f>
        <v>158.16</v>
      </c>
      <c r="F5" s="48">
        <f>'Apr - Jun 2018'!I67</f>
        <v>4587.9999999999991</v>
      </c>
      <c r="G5" s="48">
        <f>'Apr - Jun 2018'!J67</f>
        <v>658.49999999999989</v>
      </c>
      <c r="H5" s="48">
        <f>'Apr - Jun 2018'!K67</f>
        <v>502.32</v>
      </c>
      <c r="I5" s="48">
        <f>'Apr - Jun 2018'!L67</f>
        <v>24.68</v>
      </c>
      <c r="J5" s="48">
        <f>SUM(D5:I5)</f>
        <v>5931.6599999999989</v>
      </c>
      <c r="L5" s="47" t="s">
        <v>91</v>
      </c>
      <c r="M5" s="48">
        <v>0</v>
      </c>
      <c r="N5" s="48">
        <v>0</v>
      </c>
      <c r="O5" s="48">
        <v>3982.7500000000005</v>
      </c>
      <c r="P5" s="48">
        <v>765.04999999999984</v>
      </c>
      <c r="Q5" s="48">
        <v>1091.51</v>
      </c>
      <c r="R5" s="48">
        <v>166.97</v>
      </c>
      <c r="S5" s="48">
        <v>6006.2800000000016</v>
      </c>
    </row>
    <row r="6" spans="2:19" x14ac:dyDescent="0.25">
      <c r="C6" s="47" t="s">
        <v>92</v>
      </c>
      <c r="D6" s="48">
        <f>'Apr - Jun 2018'!G68</f>
        <v>0</v>
      </c>
      <c r="E6" s="48">
        <f>'Apr - Jun 2018'!H68</f>
        <v>0</v>
      </c>
      <c r="F6" s="48">
        <f>'Apr - Jun 2018'!I68</f>
        <v>0</v>
      </c>
      <c r="G6" s="48">
        <f>'Apr - Jun 2018'!J68</f>
        <v>0</v>
      </c>
      <c r="H6" s="48">
        <f>'Apr - Jun 2018'!K68</f>
        <v>0</v>
      </c>
      <c r="I6" s="48">
        <f>'Apr - Jun 2018'!L68</f>
        <v>0</v>
      </c>
      <c r="J6" s="48">
        <f>SUM(D6:I6)</f>
        <v>0</v>
      </c>
      <c r="L6" s="47" t="s">
        <v>92</v>
      </c>
      <c r="M6" s="48">
        <v>0</v>
      </c>
      <c r="N6" s="48">
        <v>0</v>
      </c>
      <c r="O6" s="48">
        <v>143.4</v>
      </c>
      <c r="P6" s="48">
        <v>0</v>
      </c>
      <c r="Q6" s="48">
        <v>0</v>
      </c>
      <c r="R6" s="48">
        <v>0</v>
      </c>
      <c r="S6" s="48">
        <v>143.4</v>
      </c>
    </row>
    <row r="7" spans="2:19" x14ac:dyDescent="0.25">
      <c r="C7" s="49" t="s">
        <v>93</v>
      </c>
      <c r="D7" s="50">
        <f>SUM(D5:D6)</f>
        <v>0</v>
      </c>
      <c r="E7" s="50">
        <f t="shared" ref="E7:I7" si="0">SUM(E5:E6)</f>
        <v>158.16</v>
      </c>
      <c r="F7" s="50">
        <f t="shared" si="0"/>
        <v>4587.9999999999991</v>
      </c>
      <c r="G7" s="50">
        <f t="shared" si="0"/>
        <v>658.49999999999989</v>
      </c>
      <c r="H7" s="50">
        <f t="shared" si="0"/>
        <v>502.32</v>
      </c>
      <c r="I7" s="50">
        <f t="shared" si="0"/>
        <v>24.68</v>
      </c>
      <c r="J7" s="63">
        <v>5931.6599999999989</v>
      </c>
      <c r="L7" s="49" t="s">
        <v>93</v>
      </c>
      <c r="M7" s="50">
        <v>0</v>
      </c>
      <c r="N7" s="50">
        <v>0</v>
      </c>
      <c r="O7" s="50">
        <v>4126.1500000000005</v>
      </c>
      <c r="P7" s="50">
        <v>765.04999999999984</v>
      </c>
      <c r="Q7" s="50">
        <v>1091.51</v>
      </c>
      <c r="R7" s="50">
        <v>166.97</v>
      </c>
      <c r="S7" s="51">
        <v>6149.6800000000012</v>
      </c>
    </row>
    <row r="8" spans="2:19" x14ac:dyDescent="0.25">
      <c r="C8" s="47" t="s">
        <v>94</v>
      </c>
      <c r="D8" s="53" t="s">
        <v>95</v>
      </c>
      <c r="E8" s="53"/>
      <c r="F8" s="53" t="s">
        <v>95</v>
      </c>
      <c r="G8" s="53" t="s">
        <v>95</v>
      </c>
      <c r="H8" s="53" t="s">
        <v>95</v>
      </c>
      <c r="I8" s="53" t="s">
        <v>95</v>
      </c>
      <c r="J8" s="48">
        <v>0</v>
      </c>
      <c r="L8" s="47" t="s">
        <v>94</v>
      </c>
      <c r="M8" s="53" t="s">
        <v>95</v>
      </c>
      <c r="N8" s="53"/>
      <c r="O8" s="53" t="s">
        <v>95</v>
      </c>
      <c r="P8" s="53" t="s">
        <v>95</v>
      </c>
      <c r="Q8" s="53" t="s">
        <v>95</v>
      </c>
      <c r="R8" s="53" t="s">
        <v>95</v>
      </c>
      <c r="S8" s="48">
        <v>0</v>
      </c>
    </row>
    <row r="9" spans="2:19" x14ac:dyDescent="0.25">
      <c r="C9" s="47" t="s">
        <v>96</v>
      </c>
      <c r="D9" s="53" t="s">
        <v>95</v>
      </c>
      <c r="E9" s="54"/>
      <c r="F9" s="53" t="s">
        <v>95</v>
      </c>
      <c r="G9" s="53" t="s">
        <v>95</v>
      </c>
      <c r="H9" s="53" t="s">
        <v>95</v>
      </c>
      <c r="I9" s="53" t="s">
        <v>95</v>
      </c>
      <c r="J9" s="48">
        <v>0</v>
      </c>
      <c r="L9" s="47" t="s">
        <v>96</v>
      </c>
      <c r="M9" s="53" t="s">
        <v>95</v>
      </c>
      <c r="N9" s="54"/>
      <c r="O9" s="53" t="s">
        <v>95</v>
      </c>
      <c r="P9" s="53" t="s">
        <v>95</v>
      </c>
      <c r="Q9" s="53" t="s">
        <v>95</v>
      </c>
      <c r="R9" s="53" t="s">
        <v>95</v>
      </c>
      <c r="S9" s="48">
        <v>0</v>
      </c>
    </row>
    <row r="10" spans="2:19" ht="15.75" thickBot="1" x14ac:dyDescent="0.3">
      <c r="C10" s="55" t="s">
        <v>97</v>
      </c>
      <c r="D10" s="56">
        <v>0</v>
      </c>
      <c r="E10" s="56">
        <v>158.16</v>
      </c>
      <c r="F10" s="56">
        <v>4587.9999999999991</v>
      </c>
      <c r="G10" s="56">
        <v>658.49999999999989</v>
      </c>
      <c r="H10" s="56">
        <v>502.32</v>
      </c>
      <c r="I10" s="56">
        <v>24.68</v>
      </c>
      <c r="J10" s="57">
        <v>5931.6599999999989</v>
      </c>
      <c r="L10" s="55" t="s">
        <v>97</v>
      </c>
      <c r="M10" s="56">
        <v>0</v>
      </c>
      <c r="N10" s="56">
        <v>0</v>
      </c>
      <c r="O10" s="56">
        <v>4126.1500000000005</v>
      </c>
      <c r="P10" s="56">
        <v>765.04999999999984</v>
      </c>
      <c r="Q10" s="56">
        <v>1091.51</v>
      </c>
      <c r="R10" s="56">
        <v>166.97</v>
      </c>
      <c r="S10" s="57">
        <v>6149.6800000000012</v>
      </c>
    </row>
    <row r="11" spans="2:19" ht="15.75" thickBot="1" x14ac:dyDescent="0.3"/>
    <row r="12" spans="2:19" ht="15.75" thickBot="1" x14ac:dyDescent="0.3">
      <c r="B12" t="s">
        <v>277</v>
      </c>
      <c r="C12" s="39" t="s">
        <v>86</v>
      </c>
      <c r="D12" s="40"/>
      <c r="E12" s="40"/>
      <c r="F12" s="40"/>
      <c r="G12" s="40"/>
      <c r="H12" s="40"/>
      <c r="I12" s="40"/>
      <c r="J12" s="41"/>
      <c r="L12" s="39" t="s">
        <v>86</v>
      </c>
      <c r="M12" s="40"/>
      <c r="N12" s="40"/>
      <c r="O12" s="40"/>
      <c r="P12" s="40"/>
      <c r="Q12" s="40"/>
      <c r="R12" s="40"/>
      <c r="S12" s="41"/>
    </row>
    <row r="13" spans="2:19" ht="51.75" x14ac:dyDescent="0.25">
      <c r="C13" s="42"/>
      <c r="D13" s="43" t="s">
        <v>7</v>
      </c>
      <c r="E13" s="44" t="s">
        <v>87</v>
      </c>
      <c r="F13" s="44" t="s">
        <v>88</v>
      </c>
      <c r="G13" s="44" t="s">
        <v>89</v>
      </c>
      <c r="H13" s="44" t="s">
        <v>11</v>
      </c>
      <c r="I13" s="44" t="s">
        <v>12</v>
      </c>
      <c r="J13" s="45" t="s">
        <v>90</v>
      </c>
      <c r="L13" s="42"/>
      <c r="M13" s="43" t="s">
        <v>7</v>
      </c>
      <c r="N13" s="44" t="s">
        <v>87</v>
      </c>
      <c r="O13" s="44" t="s">
        <v>88</v>
      </c>
      <c r="P13" s="44" t="s">
        <v>89</v>
      </c>
      <c r="Q13" s="44" t="s">
        <v>11</v>
      </c>
      <c r="R13" s="44" t="s">
        <v>12</v>
      </c>
      <c r="S13" s="45" t="s">
        <v>90</v>
      </c>
    </row>
    <row r="14" spans="2:19" x14ac:dyDescent="0.25">
      <c r="C14" s="47" t="s">
        <v>91</v>
      </c>
      <c r="D14" s="48">
        <f>'Jul- Sep 2018'!G67</f>
        <v>0</v>
      </c>
      <c r="E14" s="48">
        <f>'Jul- Sep 2018'!H67</f>
        <v>0</v>
      </c>
      <c r="F14" s="48">
        <f>'Jul- Sep 2018'!I67</f>
        <v>4217.28</v>
      </c>
      <c r="G14" s="48">
        <f>'Jul- Sep 2018'!J67</f>
        <v>597.85</v>
      </c>
      <c r="H14" s="48">
        <f>'Jul- Sep 2018'!K67</f>
        <v>416.59</v>
      </c>
      <c r="I14" s="48">
        <f>'Jul- Sep 2018'!L67</f>
        <v>88.42</v>
      </c>
      <c r="J14" s="48">
        <v>5320.14</v>
      </c>
      <c r="L14" s="47" t="s">
        <v>91</v>
      </c>
      <c r="M14" s="48">
        <v>0</v>
      </c>
      <c r="N14" s="48">
        <v>188.16</v>
      </c>
      <c r="O14" s="48">
        <v>4493.9000000000015</v>
      </c>
      <c r="P14" s="48">
        <v>438.29999999999995</v>
      </c>
      <c r="Q14" s="48">
        <v>176.43</v>
      </c>
      <c r="R14" s="48">
        <v>303.23</v>
      </c>
      <c r="S14" s="48">
        <v>5600.02</v>
      </c>
    </row>
    <row r="15" spans="2:19" x14ac:dyDescent="0.25">
      <c r="C15" s="47" t="s">
        <v>92</v>
      </c>
      <c r="D15" s="48">
        <f>'Jul- Sep 2018'!G68</f>
        <v>0</v>
      </c>
      <c r="E15" s="48">
        <f>'Jul- Sep 2018'!H68</f>
        <v>0</v>
      </c>
      <c r="F15" s="48">
        <f>'Jul- Sep 2018'!I68</f>
        <v>0</v>
      </c>
      <c r="G15" s="48">
        <f>'Jul- Sep 2018'!J68</f>
        <v>0</v>
      </c>
      <c r="H15" s="48">
        <f>'Jul- Sep 2018'!K68</f>
        <v>0</v>
      </c>
      <c r="I15" s="48">
        <f>'Jul- Sep 2018'!L68</f>
        <v>0</v>
      </c>
      <c r="J15" s="48">
        <f>SUM(D15:I15)</f>
        <v>0</v>
      </c>
      <c r="L15" s="47" t="s">
        <v>92</v>
      </c>
      <c r="M15" s="48">
        <v>0</v>
      </c>
      <c r="N15" s="48">
        <v>0</v>
      </c>
      <c r="O15" s="48">
        <v>123</v>
      </c>
      <c r="P15" s="48">
        <v>0</v>
      </c>
      <c r="Q15" s="48">
        <v>0</v>
      </c>
      <c r="R15" s="48">
        <v>0</v>
      </c>
      <c r="S15" s="48">
        <v>123</v>
      </c>
    </row>
    <row r="16" spans="2:19" x14ac:dyDescent="0.25">
      <c r="C16" s="49" t="s">
        <v>93</v>
      </c>
      <c r="D16" s="50">
        <f>SUM(D14:D15)</f>
        <v>0</v>
      </c>
      <c r="E16" s="50">
        <f t="shared" ref="E16:I16" si="1">SUM(E14:E15)</f>
        <v>0</v>
      </c>
      <c r="F16" s="50">
        <f t="shared" si="1"/>
        <v>4217.28</v>
      </c>
      <c r="G16" s="50">
        <f t="shared" si="1"/>
        <v>597.85</v>
      </c>
      <c r="H16" s="50">
        <f t="shared" si="1"/>
        <v>416.59</v>
      </c>
      <c r="I16" s="50">
        <f t="shared" si="1"/>
        <v>88.42</v>
      </c>
      <c r="J16" s="63">
        <v>5320.14</v>
      </c>
      <c r="L16" s="49" t="s">
        <v>93</v>
      </c>
      <c r="M16" s="50">
        <v>0</v>
      </c>
      <c r="N16" s="50">
        <v>188.16</v>
      </c>
      <c r="O16" s="50">
        <v>4616.9000000000015</v>
      </c>
      <c r="P16" s="50">
        <v>438.29999999999995</v>
      </c>
      <c r="Q16" s="50">
        <v>176.43</v>
      </c>
      <c r="R16" s="50">
        <v>303.23</v>
      </c>
      <c r="S16" s="51">
        <v>5723.0200000000023</v>
      </c>
    </row>
    <row r="17" spans="2:19" x14ac:dyDescent="0.25">
      <c r="C17" s="47" t="s">
        <v>94</v>
      </c>
      <c r="D17" s="53" t="s">
        <v>95</v>
      </c>
      <c r="E17" s="53"/>
      <c r="F17" s="53" t="s">
        <v>95</v>
      </c>
      <c r="G17" s="53" t="s">
        <v>95</v>
      </c>
      <c r="H17" s="53" t="s">
        <v>95</v>
      </c>
      <c r="I17" s="53" t="s">
        <v>95</v>
      </c>
      <c r="J17" s="48">
        <v>0</v>
      </c>
      <c r="L17" s="47" t="s">
        <v>94</v>
      </c>
      <c r="M17" s="53" t="s">
        <v>95</v>
      </c>
      <c r="N17" s="53"/>
      <c r="O17" s="53" t="s">
        <v>95</v>
      </c>
      <c r="P17" s="53" t="s">
        <v>95</v>
      </c>
      <c r="Q17" s="53" t="s">
        <v>95</v>
      </c>
      <c r="R17" s="53" t="s">
        <v>95</v>
      </c>
      <c r="S17" s="48">
        <v>0</v>
      </c>
    </row>
    <row r="18" spans="2:19" x14ac:dyDescent="0.25">
      <c r="C18" s="47" t="s">
        <v>96</v>
      </c>
      <c r="D18" s="53" t="s">
        <v>95</v>
      </c>
      <c r="E18" s="54"/>
      <c r="F18" s="53" t="s">
        <v>95</v>
      </c>
      <c r="G18" s="53" t="s">
        <v>95</v>
      </c>
      <c r="H18" s="53" t="s">
        <v>95</v>
      </c>
      <c r="I18" s="53" t="s">
        <v>95</v>
      </c>
      <c r="J18" s="48">
        <v>0</v>
      </c>
      <c r="L18" s="47" t="s">
        <v>96</v>
      </c>
      <c r="M18" s="53" t="s">
        <v>95</v>
      </c>
      <c r="N18" s="54"/>
      <c r="O18" s="53" t="s">
        <v>95</v>
      </c>
      <c r="P18" s="53" t="s">
        <v>95</v>
      </c>
      <c r="Q18" s="53" t="s">
        <v>95</v>
      </c>
      <c r="R18" s="53" t="s">
        <v>95</v>
      </c>
      <c r="S18" s="48">
        <v>0</v>
      </c>
    </row>
    <row r="19" spans="2:19" ht="15.75" thickBot="1" x14ac:dyDescent="0.3">
      <c r="C19" s="55" t="s">
        <v>97</v>
      </c>
      <c r="D19" s="56">
        <v>0</v>
      </c>
      <c r="E19" s="56">
        <v>0</v>
      </c>
      <c r="F19" s="56">
        <v>4217.28</v>
      </c>
      <c r="G19" s="56">
        <v>597.85</v>
      </c>
      <c r="H19" s="56">
        <v>416.59</v>
      </c>
      <c r="I19" s="56">
        <v>88.42</v>
      </c>
      <c r="J19" s="57">
        <v>5320.14</v>
      </c>
      <c r="L19" s="55" t="s">
        <v>97</v>
      </c>
      <c r="M19" s="56">
        <v>0</v>
      </c>
      <c r="N19" s="56">
        <v>188.16</v>
      </c>
      <c r="O19" s="56">
        <v>4616.9000000000015</v>
      </c>
      <c r="P19" s="56">
        <v>438.29999999999995</v>
      </c>
      <c r="Q19" s="56">
        <v>176.43</v>
      </c>
      <c r="R19" s="56">
        <v>303.23</v>
      </c>
      <c r="S19" s="57">
        <v>5723.0200000000023</v>
      </c>
    </row>
    <row r="20" spans="2:19" ht="15.75" thickBot="1" x14ac:dyDescent="0.3"/>
    <row r="21" spans="2:19" ht="15.75" thickBot="1" x14ac:dyDescent="0.3">
      <c r="B21" t="s">
        <v>276</v>
      </c>
      <c r="C21" s="39" t="s">
        <v>86</v>
      </c>
      <c r="D21" s="40"/>
      <c r="E21" s="40"/>
      <c r="F21" s="40"/>
      <c r="G21" s="40"/>
      <c r="H21" s="40"/>
      <c r="I21" s="40"/>
      <c r="J21" s="41"/>
      <c r="L21" s="39" t="s">
        <v>86</v>
      </c>
      <c r="M21" s="40"/>
      <c r="N21" s="40"/>
      <c r="O21" s="40"/>
      <c r="P21" s="40"/>
      <c r="Q21" s="40"/>
      <c r="R21" s="40"/>
      <c r="S21" s="41"/>
    </row>
    <row r="22" spans="2:19" ht="51.75" x14ac:dyDescent="0.25">
      <c r="C22" s="42"/>
      <c r="D22" s="43" t="s">
        <v>7</v>
      </c>
      <c r="E22" s="44" t="s">
        <v>87</v>
      </c>
      <c r="F22" s="44" t="s">
        <v>88</v>
      </c>
      <c r="G22" s="44" t="s">
        <v>89</v>
      </c>
      <c r="H22" s="44" t="s">
        <v>11</v>
      </c>
      <c r="I22" s="44" t="s">
        <v>12</v>
      </c>
      <c r="J22" s="45" t="s">
        <v>90</v>
      </c>
      <c r="L22" s="42"/>
      <c r="M22" s="43" t="s">
        <v>7</v>
      </c>
      <c r="N22" s="44" t="s">
        <v>87</v>
      </c>
      <c r="O22" s="44" t="s">
        <v>88</v>
      </c>
      <c r="P22" s="44" t="s">
        <v>89</v>
      </c>
      <c r="Q22" s="44" t="s">
        <v>11</v>
      </c>
      <c r="R22" s="44" t="s">
        <v>12</v>
      </c>
      <c r="S22" s="45" t="s">
        <v>90</v>
      </c>
    </row>
    <row r="23" spans="2:19" x14ac:dyDescent="0.25">
      <c r="C23" s="47" t="s">
        <v>91</v>
      </c>
      <c r="D23" s="48">
        <f>'Oct - Dec 2018'!G72</f>
        <v>0</v>
      </c>
      <c r="E23" s="48">
        <f>'Oct - Dec 2018'!H72</f>
        <v>401.32</v>
      </c>
      <c r="F23" s="48">
        <f>'Oct - Dec 2018'!I72</f>
        <v>4465.2</v>
      </c>
      <c r="G23" s="48">
        <f>'Oct - Dec 2018'!J72</f>
        <v>477.43000000000006</v>
      </c>
      <c r="H23" s="48">
        <f>'Oct - Dec 2018'!K72</f>
        <v>656.62</v>
      </c>
      <c r="I23" s="48">
        <f>'Oct - Dec 2018'!L72</f>
        <v>55.839999999999996</v>
      </c>
      <c r="J23" s="48">
        <f>SUM(D23:I23)</f>
        <v>6056.41</v>
      </c>
      <c r="L23" s="47" t="s">
        <v>91</v>
      </c>
      <c r="M23" s="48">
        <v>252.89999999999998</v>
      </c>
      <c r="N23" s="48">
        <v>193.16</v>
      </c>
      <c r="O23" s="48">
        <v>4824.0499999999984</v>
      </c>
      <c r="P23" s="48">
        <v>750.37999999999988</v>
      </c>
      <c r="Q23" s="48">
        <v>583.52099999999996</v>
      </c>
      <c r="R23" s="48">
        <v>305.84000000000003</v>
      </c>
      <c r="S23" s="48">
        <v>6909.8509999999987</v>
      </c>
    </row>
    <row r="24" spans="2:19" x14ac:dyDescent="0.25">
      <c r="C24" s="47" t="s">
        <v>92</v>
      </c>
      <c r="D24" s="48">
        <f>'Oct - Dec 2018'!G73</f>
        <v>0</v>
      </c>
      <c r="E24" s="48">
        <f>'Oct - Dec 2018'!H73</f>
        <v>0</v>
      </c>
      <c r="F24" s="48">
        <f>'Oct - Dec 2018'!I73</f>
        <v>0</v>
      </c>
      <c r="G24" s="48">
        <f>'Oct - Dec 2018'!J73</f>
        <v>0</v>
      </c>
      <c r="H24" s="48">
        <f>'Oct - Dec 2018'!K73</f>
        <v>0</v>
      </c>
      <c r="I24" s="48">
        <f>'Oct - Dec 2018'!L73</f>
        <v>0</v>
      </c>
      <c r="J24" s="48">
        <f>SUM(D24:I24)</f>
        <v>0</v>
      </c>
      <c r="L24" s="47" t="s">
        <v>92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</row>
    <row r="25" spans="2:19" x14ac:dyDescent="0.25">
      <c r="C25" s="49" t="s">
        <v>93</v>
      </c>
      <c r="D25" s="50">
        <f>SUM(D23:D24)</f>
        <v>0</v>
      </c>
      <c r="E25" s="50">
        <f t="shared" ref="E25:I25" si="2">SUM(E23:E24)</f>
        <v>401.32</v>
      </c>
      <c r="F25" s="50">
        <f t="shared" si="2"/>
        <v>4465.2</v>
      </c>
      <c r="G25" s="50">
        <f t="shared" si="2"/>
        <v>477.43000000000006</v>
      </c>
      <c r="H25" s="50">
        <f t="shared" si="2"/>
        <v>656.62</v>
      </c>
      <c r="I25" s="50">
        <f t="shared" si="2"/>
        <v>55.839999999999996</v>
      </c>
      <c r="J25" s="63">
        <v>4473.4599999999991</v>
      </c>
      <c r="L25" s="49" t="s">
        <v>93</v>
      </c>
      <c r="M25" s="50">
        <v>252.89999999999998</v>
      </c>
      <c r="N25" s="50">
        <v>193.16</v>
      </c>
      <c r="O25" s="50">
        <v>4824.0499999999984</v>
      </c>
      <c r="P25" s="50">
        <v>750.37999999999988</v>
      </c>
      <c r="Q25" s="50">
        <v>583.52099999999996</v>
      </c>
      <c r="R25" s="50">
        <v>305.84000000000003</v>
      </c>
      <c r="S25" s="51">
        <v>6909.8509999999987</v>
      </c>
    </row>
    <row r="26" spans="2:19" x14ac:dyDescent="0.25">
      <c r="C26" s="47" t="s">
        <v>94</v>
      </c>
      <c r="D26" s="53" t="s">
        <v>95</v>
      </c>
      <c r="E26" s="53"/>
      <c r="F26" s="53" t="s">
        <v>95</v>
      </c>
      <c r="G26" s="53" t="s">
        <v>95</v>
      </c>
      <c r="H26" s="53" t="s">
        <v>95</v>
      </c>
      <c r="I26" s="53" t="s">
        <v>95</v>
      </c>
      <c r="J26" s="48">
        <v>0</v>
      </c>
      <c r="L26" s="47" t="s">
        <v>94</v>
      </c>
      <c r="M26" s="53" t="s">
        <v>95</v>
      </c>
      <c r="N26" s="53"/>
      <c r="O26" s="53" t="s">
        <v>95</v>
      </c>
      <c r="P26" s="53" t="s">
        <v>95</v>
      </c>
      <c r="Q26" s="53" t="s">
        <v>95</v>
      </c>
      <c r="R26" s="53" t="s">
        <v>95</v>
      </c>
      <c r="S26" s="48">
        <v>0</v>
      </c>
    </row>
    <row r="27" spans="2:19" x14ac:dyDescent="0.25">
      <c r="C27" s="47" t="s">
        <v>96</v>
      </c>
      <c r="D27" s="53" t="s">
        <v>95</v>
      </c>
      <c r="E27" s="54"/>
      <c r="F27" s="53" t="s">
        <v>95</v>
      </c>
      <c r="G27" s="53" t="s">
        <v>95</v>
      </c>
      <c r="H27" s="53" t="s">
        <v>95</v>
      </c>
      <c r="I27" s="53" t="s">
        <v>95</v>
      </c>
      <c r="J27" s="48">
        <v>0</v>
      </c>
      <c r="L27" s="47" t="s">
        <v>96</v>
      </c>
      <c r="M27" s="53" t="s">
        <v>95</v>
      </c>
      <c r="N27" s="54"/>
      <c r="O27" s="53" t="s">
        <v>95</v>
      </c>
      <c r="P27" s="53" t="s">
        <v>95</v>
      </c>
      <c r="Q27" s="53" t="s">
        <v>95</v>
      </c>
      <c r="R27" s="53" t="s">
        <v>95</v>
      </c>
      <c r="S27" s="48">
        <v>0</v>
      </c>
    </row>
    <row r="28" spans="2:19" ht="15.75" thickBot="1" x14ac:dyDescent="0.3">
      <c r="C28" s="55" t="s">
        <v>97</v>
      </c>
      <c r="D28" s="56">
        <v>0</v>
      </c>
      <c r="E28" s="56">
        <v>401.32</v>
      </c>
      <c r="F28" s="56">
        <v>3275.2999999999993</v>
      </c>
      <c r="G28" s="56">
        <v>262.43</v>
      </c>
      <c r="H28" s="56">
        <v>478.57</v>
      </c>
      <c r="I28" s="56">
        <v>55.839999999999996</v>
      </c>
      <c r="J28" s="57">
        <v>4473.4599999999991</v>
      </c>
      <c r="L28" s="55" t="s">
        <v>97</v>
      </c>
      <c r="M28" s="56">
        <v>252.89999999999998</v>
      </c>
      <c r="N28" s="56">
        <v>193.16</v>
      </c>
      <c r="O28" s="56">
        <v>4824.0499999999984</v>
      </c>
      <c r="P28" s="56">
        <v>750.37999999999988</v>
      </c>
      <c r="Q28" s="56">
        <v>583.52099999999996</v>
      </c>
      <c r="R28" s="56">
        <v>305.84000000000003</v>
      </c>
      <c r="S28" s="57">
        <v>6909.8509999999987</v>
      </c>
    </row>
    <row r="29" spans="2:19" ht="15.75" thickBot="1" x14ac:dyDescent="0.3"/>
    <row r="30" spans="2:19" ht="15.75" thickBot="1" x14ac:dyDescent="0.3">
      <c r="B30" t="s">
        <v>275</v>
      </c>
      <c r="C30" s="39" t="s">
        <v>86</v>
      </c>
      <c r="D30" s="40"/>
      <c r="E30" s="40"/>
      <c r="F30" s="40"/>
      <c r="G30" s="40"/>
      <c r="H30" s="40"/>
      <c r="I30" s="40"/>
      <c r="J30" s="41"/>
      <c r="L30" s="39" t="s">
        <v>86</v>
      </c>
      <c r="M30" s="40"/>
      <c r="N30" s="40"/>
      <c r="O30" s="40"/>
      <c r="P30" s="40"/>
      <c r="Q30" s="40"/>
      <c r="R30" s="40"/>
      <c r="S30" s="41"/>
    </row>
    <row r="31" spans="2:19" ht="51.75" x14ac:dyDescent="0.25">
      <c r="C31" s="42"/>
      <c r="D31" s="43" t="s">
        <v>7</v>
      </c>
      <c r="E31" s="44" t="s">
        <v>87</v>
      </c>
      <c r="F31" s="44" t="s">
        <v>88</v>
      </c>
      <c r="G31" s="44" t="s">
        <v>89</v>
      </c>
      <c r="H31" s="44" t="s">
        <v>11</v>
      </c>
      <c r="I31" s="44" t="s">
        <v>12</v>
      </c>
      <c r="J31" s="45" t="s">
        <v>90</v>
      </c>
      <c r="L31" s="42"/>
      <c r="M31" s="43" t="s">
        <v>7</v>
      </c>
      <c r="N31" s="44" t="s">
        <v>87</v>
      </c>
      <c r="O31" s="44" t="s">
        <v>88</v>
      </c>
      <c r="P31" s="44" t="s">
        <v>89</v>
      </c>
      <c r="Q31" s="44" t="s">
        <v>11</v>
      </c>
      <c r="R31" s="44" t="s">
        <v>12</v>
      </c>
      <c r="S31" s="45" t="s">
        <v>90</v>
      </c>
    </row>
    <row r="32" spans="2:19" x14ac:dyDescent="0.25">
      <c r="C32" s="47" t="s">
        <v>91</v>
      </c>
      <c r="D32" s="48">
        <f>'Jan - Mar 2019'!G82</f>
        <v>85.94</v>
      </c>
      <c r="E32" s="48">
        <f>'Jan - Mar 2019'!H82</f>
        <v>0</v>
      </c>
      <c r="F32" s="48">
        <f>'Jan - Mar 2019'!I82</f>
        <v>6173.6</v>
      </c>
      <c r="G32" s="48">
        <f>'Jan - Mar 2019'!J82</f>
        <v>483.2</v>
      </c>
      <c r="H32" s="48">
        <f>'Jan - Mar 2019'!K82</f>
        <v>1303.4799999999998</v>
      </c>
      <c r="I32" s="48">
        <f>'Jan - Mar 2019'!L82</f>
        <v>4.8</v>
      </c>
      <c r="J32" s="48">
        <f>SUM(D32:I32)</f>
        <v>8051.0199999999995</v>
      </c>
      <c r="L32" s="47" t="s">
        <v>91</v>
      </c>
      <c r="M32" s="48">
        <v>0</v>
      </c>
      <c r="N32" s="48">
        <v>0</v>
      </c>
      <c r="O32" s="48">
        <v>6420.1499999999987</v>
      </c>
      <c r="P32" s="48">
        <v>710.08000000000027</v>
      </c>
      <c r="Q32" s="48">
        <v>799.02</v>
      </c>
      <c r="R32" s="48">
        <v>238.17000000000002</v>
      </c>
      <c r="S32" s="48">
        <v>8167.4199999999955</v>
      </c>
    </row>
    <row r="33" spans="3:19" x14ac:dyDescent="0.25">
      <c r="C33" s="47" t="s">
        <v>92</v>
      </c>
      <c r="D33" s="48">
        <f>'Jan - Mar 2019'!G7+'Jan - Mar 2019'!G9</f>
        <v>172.56</v>
      </c>
      <c r="E33" s="48">
        <f>'Jan - Mar 2019'!H7+'Jan - Mar 2019'!H9</f>
        <v>0</v>
      </c>
      <c r="F33" s="48">
        <f>'Jan - Mar 2019'!I7+'Jan - Mar 2019'!I9</f>
        <v>261.39999999999998</v>
      </c>
      <c r="G33" s="48">
        <f>'Jan - Mar 2019'!J7+'Jan - Mar 2019'!J9</f>
        <v>0</v>
      </c>
      <c r="H33" s="48">
        <f>'Jan - Mar 2019'!K7+'Jan - Mar 2019'!K9</f>
        <v>219.9</v>
      </c>
      <c r="I33" s="48">
        <f>'Jan - Mar 2019'!L7+'Jan - Mar 2019'!L9</f>
        <v>0</v>
      </c>
      <c r="J33" s="48">
        <f>SUM(D33:I33)</f>
        <v>653.86</v>
      </c>
      <c r="L33" s="47" t="s">
        <v>92</v>
      </c>
      <c r="M33" s="48">
        <v>232.04</v>
      </c>
      <c r="N33" s="48">
        <v>0</v>
      </c>
      <c r="O33" s="48">
        <v>149.5</v>
      </c>
      <c r="P33" s="48">
        <v>0</v>
      </c>
      <c r="Q33" s="48">
        <v>0</v>
      </c>
      <c r="R33" s="48">
        <v>0</v>
      </c>
      <c r="S33" s="48">
        <v>381.53999999999996</v>
      </c>
    </row>
    <row r="34" spans="3:19" x14ac:dyDescent="0.25">
      <c r="C34" s="49" t="s">
        <v>93</v>
      </c>
      <c r="D34" s="50">
        <f>SUM(D32:D33)</f>
        <v>258.5</v>
      </c>
      <c r="E34" s="50">
        <f t="shared" ref="E34:I34" si="3">SUM(E32:E33)</f>
        <v>0</v>
      </c>
      <c r="F34" s="50">
        <f t="shared" si="3"/>
        <v>6435</v>
      </c>
      <c r="G34" s="50">
        <f t="shared" si="3"/>
        <v>483.2</v>
      </c>
      <c r="H34" s="50">
        <f t="shared" si="3"/>
        <v>1523.3799999999999</v>
      </c>
      <c r="I34" s="50">
        <f t="shared" si="3"/>
        <v>4.8</v>
      </c>
      <c r="J34" s="63">
        <f>SUM(D34:I34)</f>
        <v>8704.8799999999992</v>
      </c>
      <c r="L34" s="49" t="s">
        <v>93</v>
      </c>
      <c r="M34" s="50">
        <v>232.04</v>
      </c>
      <c r="N34" s="50">
        <v>0</v>
      </c>
      <c r="O34" s="50">
        <v>6569.6499999999987</v>
      </c>
      <c r="P34" s="50">
        <v>710.08000000000027</v>
      </c>
      <c r="Q34" s="50">
        <v>799.02</v>
      </c>
      <c r="R34" s="50">
        <v>238.17000000000002</v>
      </c>
      <c r="S34" s="51">
        <v>8548.9599999999991</v>
      </c>
    </row>
    <row r="35" spans="3:19" x14ac:dyDescent="0.25">
      <c r="C35" s="47" t="s">
        <v>94</v>
      </c>
      <c r="D35" s="53" t="s">
        <v>95</v>
      </c>
      <c r="E35" s="53"/>
      <c r="F35" s="53" t="s">
        <v>95</v>
      </c>
      <c r="G35" s="53" t="s">
        <v>95</v>
      </c>
      <c r="H35" s="53" t="s">
        <v>95</v>
      </c>
      <c r="I35" s="53" t="s">
        <v>95</v>
      </c>
      <c r="J35" s="48">
        <v>0</v>
      </c>
      <c r="L35" s="47" t="s">
        <v>94</v>
      </c>
      <c r="M35" s="53" t="s">
        <v>95</v>
      </c>
      <c r="N35" s="53"/>
      <c r="O35" s="53" t="s">
        <v>95</v>
      </c>
      <c r="P35" s="53" t="s">
        <v>95</v>
      </c>
      <c r="Q35" s="53" t="s">
        <v>95</v>
      </c>
      <c r="R35" s="53" t="s">
        <v>95</v>
      </c>
      <c r="S35" s="48">
        <v>0</v>
      </c>
    </row>
    <row r="36" spans="3:19" x14ac:dyDescent="0.25">
      <c r="C36" s="47" t="s">
        <v>96</v>
      </c>
      <c r="D36" s="53" t="s">
        <v>95</v>
      </c>
      <c r="E36" s="54"/>
      <c r="F36" s="53" t="s">
        <v>95</v>
      </c>
      <c r="G36" s="53" t="s">
        <v>95</v>
      </c>
      <c r="H36" s="53" t="s">
        <v>95</v>
      </c>
      <c r="I36" s="53" t="s">
        <v>95</v>
      </c>
      <c r="J36" s="48">
        <v>0</v>
      </c>
      <c r="L36" s="47" t="s">
        <v>96</v>
      </c>
      <c r="M36" s="53" t="s">
        <v>95</v>
      </c>
      <c r="N36" s="54"/>
      <c r="O36" s="53" t="s">
        <v>95</v>
      </c>
      <c r="P36" s="53" t="s">
        <v>95</v>
      </c>
      <c r="Q36" s="53" t="s">
        <v>95</v>
      </c>
      <c r="R36" s="53" t="s">
        <v>95</v>
      </c>
      <c r="S36" s="48">
        <v>0</v>
      </c>
    </row>
    <row r="37" spans="3:19" ht="15.75" thickBot="1" x14ac:dyDescent="0.3">
      <c r="C37" s="55" t="s">
        <v>97</v>
      </c>
      <c r="D37" s="56">
        <v>258.5</v>
      </c>
      <c r="E37" s="56">
        <v>0</v>
      </c>
      <c r="F37" s="56">
        <v>6435</v>
      </c>
      <c r="G37" s="56">
        <v>483.2</v>
      </c>
      <c r="H37" s="56">
        <v>1523.3799999999999</v>
      </c>
      <c r="I37" s="56">
        <v>4.8</v>
      </c>
      <c r="J37" s="57">
        <f>SUM(J34:J36)</f>
        <v>8704.8799999999992</v>
      </c>
      <c r="L37" s="55" t="s">
        <v>97</v>
      </c>
      <c r="M37" s="56">
        <v>232.04</v>
      </c>
      <c r="N37" s="56">
        <v>0</v>
      </c>
      <c r="O37" s="56">
        <v>6569.6499999999987</v>
      </c>
      <c r="P37" s="56">
        <v>710.08000000000027</v>
      </c>
      <c r="Q37" s="56">
        <v>799.02</v>
      </c>
      <c r="R37" s="56">
        <v>238.17000000000002</v>
      </c>
      <c r="S37" s="57">
        <v>8548.9599999999991</v>
      </c>
    </row>
    <row r="39" spans="3:19" ht="15.75" thickBot="1" x14ac:dyDescent="0.3">
      <c r="C39" s="60" t="s">
        <v>272</v>
      </c>
      <c r="L39" s="60" t="s">
        <v>272</v>
      </c>
    </row>
    <row r="40" spans="3:19" ht="15.75" thickBot="1" x14ac:dyDescent="0.3">
      <c r="C40" s="39" t="s">
        <v>86</v>
      </c>
      <c r="D40" s="40"/>
      <c r="E40" s="40"/>
      <c r="F40" s="40"/>
      <c r="G40" s="40"/>
      <c r="H40" s="40"/>
      <c r="I40" s="40"/>
      <c r="J40" s="41"/>
      <c r="L40" s="39" t="s">
        <v>86</v>
      </c>
      <c r="M40" s="40"/>
      <c r="N40" s="40"/>
      <c r="O40" s="40"/>
      <c r="P40" s="40"/>
      <c r="Q40" s="40"/>
      <c r="R40" s="40"/>
      <c r="S40" s="41"/>
    </row>
    <row r="41" spans="3:19" ht="51.75" x14ac:dyDescent="0.25">
      <c r="C41" s="42"/>
      <c r="D41" s="43" t="s">
        <v>7</v>
      </c>
      <c r="E41" s="44" t="s">
        <v>87</v>
      </c>
      <c r="F41" s="44" t="s">
        <v>88</v>
      </c>
      <c r="G41" s="44" t="s">
        <v>89</v>
      </c>
      <c r="H41" s="44" t="s">
        <v>11</v>
      </c>
      <c r="I41" s="44" t="s">
        <v>12</v>
      </c>
      <c r="J41" s="45" t="s">
        <v>90</v>
      </c>
      <c r="L41" s="42"/>
      <c r="M41" s="43" t="s">
        <v>7</v>
      </c>
      <c r="N41" s="44" t="s">
        <v>87</v>
      </c>
      <c r="O41" s="44" t="s">
        <v>88</v>
      </c>
      <c r="P41" s="44" t="s">
        <v>89</v>
      </c>
      <c r="Q41" s="44" t="s">
        <v>11</v>
      </c>
      <c r="R41" s="44" t="s">
        <v>12</v>
      </c>
      <c r="S41" s="45" t="s">
        <v>90</v>
      </c>
    </row>
    <row r="42" spans="3:19" x14ac:dyDescent="0.25">
      <c r="C42" s="47" t="s">
        <v>91</v>
      </c>
      <c r="D42" s="48">
        <f>D5+D14+D23+D32</f>
        <v>85.94</v>
      </c>
      <c r="E42" s="48">
        <f t="shared" ref="E42:J42" si="4">E5+E14+E23+E32</f>
        <v>559.48</v>
      </c>
      <c r="F42" s="48">
        <f t="shared" si="4"/>
        <v>19444.080000000002</v>
      </c>
      <c r="G42" s="48">
        <f t="shared" si="4"/>
        <v>2216.98</v>
      </c>
      <c r="H42" s="48">
        <f t="shared" si="4"/>
        <v>2879.0099999999998</v>
      </c>
      <c r="I42" s="48">
        <f t="shared" si="4"/>
        <v>173.74</v>
      </c>
      <c r="J42" s="48">
        <f t="shared" si="4"/>
        <v>25359.23</v>
      </c>
      <c r="L42" s="47" t="s">
        <v>91</v>
      </c>
      <c r="M42" s="48">
        <f>M5+M14+M23+M32</f>
        <v>252.89999999999998</v>
      </c>
      <c r="N42" s="48">
        <f t="shared" ref="N42:S42" si="5">N5+N14+N23+N32</f>
        <v>381.32</v>
      </c>
      <c r="O42" s="48">
        <f t="shared" si="5"/>
        <v>19720.849999999999</v>
      </c>
      <c r="P42" s="48">
        <f t="shared" si="5"/>
        <v>2663.81</v>
      </c>
      <c r="Q42" s="48">
        <f t="shared" si="5"/>
        <v>2650.4809999999998</v>
      </c>
      <c r="R42" s="48">
        <f t="shared" si="5"/>
        <v>1014.21</v>
      </c>
      <c r="S42" s="48">
        <f t="shared" si="5"/>
        <v>26683.570999999996</v>
      </c>
    </row>
    <row r="43" spans="3:19" x14ac:dyDescent="0.25">
      <c r="C43" s="47" t="s">
        <v>92</v>
      </c>
      <c r="D43" s="48">
        <f t="shared" ref="D43:J43" si="6">D6+D15+D24+D33</f>
        <v>172.56</v>
      </c>
      <c r="E43" s="48">
        <f t="shared" si="6"/>
        <v>0</v>
      </c>
      <c r="F43" s="48">
        <f t="shared" si="6"/>
        <v>261.39999999999998</v>
      </c>
      <c r="G43" s="48">
        <f t="shared" si="6"/>
        <v>0</v>
      </c>
      <c r="H43" s="48">
        <f t="shared" si="6"/>
        <v>219.9</v>
      </c>
      <c r="I43" s="48">
        <f t="shared" si="6"/>
        <v>0</v>
      </c>
      <c r="J43" s="48">
        <f t="shared" si="6"/>
        <v>653.86</v>
      </c>
      <c r="L43" s="47" t="s">
        <v>92</v>
      </c>
      <c r="M43" s="48">
        <f t="shared" ref="M43:S43" si="7">M6+M15+M24+M33</f>
        <v>232.04</v>
      </c>
      <c r="N43" s="48">
        <f t="shared" si="7"/>
        <v>0</v>
      </c>
      <c r="O43" s="48">
        <f t="shared" si="7"/>
        <v>415.9</v>
      </c>
      <c r="P43" s="48">
        <f t="shared" si="7"/>
        <v>0</v>
      </c>
      <c r="Q43" s="48">
        <f t="shared" si="7"/>
        <v>0</v>
      </c>
      <c r="R43" s="48">
        <f t="shared" si="7"/>
        <v>0</v>
      </c>
      <c r="S43" s="48">
        <f t="shared" si="7"/>
        <v>647.93999999999994</v>
      </c>
    </row>
    <row r="44" spans="3:19" x14ac:dyDescent="0.25">
      <c r="C44" s="49" t="s">
        <v>93</v>
      </c>
      <c r="D44" s="50">
        <f>SUM(D42:D43)</f>
        <v>258.5</v>
      </c>
      <c r="E44" s="50">
        <f t="shared" ref="E44:J44" si="8">SUM(E42:E43)</f>
        <v>559.48</v>
      </c>
      <c r="F44" s="50">
        <f t="shared" si="8"/>
        <v>19705.480000000003</v>
      </c>
      <c r="G44" s="50">
        <f t="shared" si="8"/>
        <v>2216.98</v>
      </c>
      <c r="H44" s="50">
        <f t="shared" si="8"/>
        <v>3098.91</v>
      </c>
      <c r="I44" s="50">
        <f t="shared" si="8"/>
        <v>173.74</v>
      </c>
      <c r="J44" s="50">
        <f t="shared" si="8"/>
        <v>26013.09</v>
      </c>
      <c r="L44" s="49" t="s">
        <v>93</v>
      </c>
      <c r="M44" s="50">
        <f>SUM(M42:M43)</f>
        <v>484.93999999999994</v>
      </c>
      <c r="N44" s="50">
        <f t="shared" ref="N44:S44" si="9">SUM(N42:N43)</f>
        <v>381.32</v>
      </c>
      <c r="O44" s="50">
        <f t="shared" si="9"/>
        <v>20136.75</v>
      </c>
      <c r="P44" s="50">
        <f t="shared" si="9"/>
        <v>2663.81</v>
      </c>
      <c r="Q44" s="50">
        <f t="shared" si="9"/>
        <v>2650.4809999999998</v>
      </c>
      <c r="R44" s="50">
        <f t="shared" si="9"/>
        <v>1014.21</v>
      </c>
      <c r="S44" s="50">
        <f t="shared" si="9"/>
        <v>27331.510999999995</v>
      </c>
    </row>
    <row r="45" spans="3:19" x14ac:dyDescent="0.25">
      <c r="C45" s="47" t="s">
        <v>94</v>
      </c>
      <c r="D45" s="53"/>
      <c r="E45" s="53"/>
      <c r="F45" s="53"/>
      <c r="G45" s="53"/>
      <c r="H45" s="53"/>
      <c r="I45" s="53"/>
      <c r="J45" s="48">
        <v>0</v>
      </c>
      <c r="L45" s="47" t="s">
        <v>94</v>
      </c>
      <c r="M45" s="53"/>
      <c r="N45" s="53"/>
      <c r="O45" s="53"/>
      <c r="P45" s="53"/>
      <c r="Q45" s="53"/>
      <c r="R45" s="53"/>
      <c r="S45" s="53"/>
    </row>
    <row r="46" spans="3:19" x14ac:dyDescent="0.25">
      <c r="C46" s="47" t="s">
        <v>96</v>
      </c>
      <c r="D46" s="53"/>
      <c r="E46" s="54"/>
      <c r="F46" s="53"/>
      <c r="G46" s="53"/>
      <c r="H46" s="53"/>
      <c r="I46" s="53"/>
      <c r="J46" s="48">
        <v>0</v>
      </c>
      <c r="L46" s="47" t="s">
        <v>96</v>
      </c>
      <c r="M46" s="53"/>
      <c r="N46" s="53"/>
      <c r="O46" s="53"/>
      <c r="P46" s="53"/>
      <c r="Q46" s="53"/>
      <c r="R46" s="53"/>
      <c r="S46" s="53"/>
    </row>
    <row r="47" spans="3:19" ht="15.75" thickBot="1" x14ac:dyDescent="0.3">
      <c r="C47" s="55" t="s">
        <v>97</v>
      </c>
      <c r="D47" s="56">
        <f>SUM(D44:D46)</f>
        <v>258.5</v>
      </c>
      <c r="E47" s="56">
        <f t="shared" ref="E47:J47" si="10">SUM(E44:E46)</f>
        <v>559.48</v>
      </c>
      <c r="F47" s="56">
        <f t="shared" si="10"/>
        <v>19705.480000000003</v>
      </c>
      <c r="G47" s="56">
        <f t="shared" si="10"/>
        <v>2216.98</v>
      </c>
      <c r="H47" s="56">
        <f t="shared" si="10"/>
        <v>3098.91</v>
      </c>
      <c r="I47" s="56">
        <f t="shared" si="10"/>
        <v>173.74</v>
      </c>
      <c r="J47" s="56">
        <f t="shared" si="10"/>
        <v>26013.09</v>
      </c>
      <c r="L47" s="55" t="s">
        <v>97</v>
      </c>
      <c r="M47" s="56">
        <f>SUM(M44:M46)</f>
        <v>484.93999999999994</v>
      </c>
      <c r="N47" s="56">
        <f t="shared" ref="N47:S47" si="11">SUM(N44:N46)</f>
        <v>381.32</v>
      </c>
      <c r="O47" s="56">
        <f t="shared" si="11"/>
        <v>20136.75</v>
      </c>
      <c r="P47" s="56">
        <f t="shared" si="11"/>
        <v>2663.81</v>
      </c>
      <c r="Q47" s="56">
        <f t="shared" si="11"/>
        <v>2650.4809999999998</v>
      </c>
      <c r="R47" s="56">
        <f t="shared" si="11"/>
        <v>1014.21</v>
      </c>
      <c r="S47" s="56">
        <f t="shared" si="11"/>
        <v>27331.510999999995</v>
      </c>
    </row>
    <row r="49" spans="10:17" x14ac:dyDescent="0.25">
      <c r="J49" s="62"/>
    </row>
    <row r="52" spans="10:17" x14ac:dyDescent="0.25">
      <c r="M52" s="61"/>
      <c r="N52" s="61"/>
      <c r="O52" s="61"/>
      <c r="P52" s="61"/>
      <c r="Q52" s="61"/>
    </row>
    <row r="53" spans="10:17" x14ac:dyDescent="0.25">
      <c r="M53" s="61"/>
      <c r="N53" s="61"/>
      <c r="O53" s="61"/>
      <c r="P53" s="61"/>
      <c r="Q53" s="61"/>
    </row>
    <row r="54" spans="10:17" x14ac:dyDescent="0.25">
      <c r="M54" s="61"/>
      <c r="N54" s="61"/>
      <c r="O54" s="61"/>
      <c r="P54" s="61"/>
      <c r="Q54" s="61"/>
    </row>
    <row r="55" spans="10:17" x14ac:dyDescent="0.25">
      <c r="M55" s="61"/>
      <c r="N55" s="61"/>
      <c r="O55" s="61"/>
      <c r="P55" s="61"/>
      <c r="Q55" s="61"/>
    </row>
    <row r="56" spans="10:17" x14ac:dyDescent="0.25">
      <c r="M56" s="61"/>
      <c r="N56" s="61"/>
      <c r="O56" s="61"/>
      <c r="P56" s="61"/>
      <c r="Q56" s="61"/>
    </row>
    <row r="57" spans="10:17" x14ac:dyDescent="0.25">
      <c r="M57" s="61"/>
      <c r="N57" s="61"/>
      <c r="O57" s="61"/>
      <c r="P57" s="61"/>
      <c r="Q57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Apr - Jun 2017</vt:lpstr>
      <vt:lpstr>Jul - Sep 2017</vt:lpstr>
      <vt:lpstr>Oct - Dec 2017</vt:lpstr>
      <vt:lpstr>Jan - Mar 2018</vt:lpstr>
      <vt:lpstr>Apr - Jun 2018</vt:lpstr>
      <vt:lpstr>Jul- Sep 2018</vt:lpstr>
      <vt:lpstr>Oct - Dec 2018</vt:lpstr>
      <vt:lpstr>Jan - Mar 2019</vt:lpstr>
      <vt:lpstr>Qtrly summary</vt:lpstr>
      <vt:lpstr>Member summry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Morounke Akingbola</cp:lastModifiedBy>
  <cp:lastPrinted>2019-04-29T09:59:35Z</cp:lastPrinted>
  <dcterms:created xsi:type="dcterms:W3CDTF">2018-02-13T11:20:13Z</dcterms:created>
  <dcterms:modified xsi:type="dcterms:W3CDTF">2019-06-07T19:49:59Z</dcterms:modified>
</cp:coreProperties>
</file>