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a\Documents\Offline Records (IS)\Disclosure Information 2015 16\"/>
    </mc:Choice>
  </mc:AlternateContent>
  <bookViews>
    <workbookView xWindow="7125" yWindow="-405" windowWidth="17430" windowHeight="12240" activeTab="3"/>
  </bookViews>
  <sheets>
    <sheet name="Apr - Jun 2015" sheetId="11" r:id="rId1"/>
    <sheet name="Jul - Sep 2015" sheetId="8" r:id="rId2"/>
    <sheet name="Oct - Dec 2015" sheetId="12" r:id="rId3"/>
    <sheet name="Jan - Mar 2016" sheetId="10" r:id="rId4"/>
  </sheets>
  <calcPr calcId="152511"/>
</workbook>
</file>

<file path=xl/calcChain.xml><?xml version="1.0" encoding="utf-8"?>
<calcChain xmlns="http://schemas.openxmlformats.org/spreadsheetml/2006/main">
  <c r="M47" i="10" l="1"/>
  <c r="M54" i="10"/>
  <c r="M58" i="10"/>
  <c r="M62" i="10"/>
  <c r="M80" i="10" l="1"/>
  <c r="M79" i="10"/>
  <c r="L77" i="10"/>
  <c r="H77" i="10"/>
  <c r="L69" i="10"/>
  <c r="K69" i="10"/>
  <c r="J69" i="10"/>
  <c r="I69" i="10"/>
  <c r="H69" i="10"/>
  <c r="G69" i="10"/>
  <c r="M68" i="10"/>
  <c r="M67" i="10"/>
  <c r="M69" i="10" s="1"/>
  <c r="M66" i="10"/>
  <c r="L64" i="10"/>
  <c r="K64" i="10"/>
  <c r="J64" i="10"/>
  <c r="I64" i="10"/>
  <c r="H64" i="10"/>
  <c r="G64" i="10"/>
  <c r="M63" i="10"/>
  <c r="M64" i="10" s="1"/>
  <c r="L62" i="10"/>
  <c r="K62" i="10"/>
  <c r="I62" i="10"/>
  <c r="H62" i="10"/>
  <c r="G62" i="10"/>
  <c r="M61" i="10"/>
  <c r="K60" i="10"/>
  <c r="M60" i="10" s="1"/>
  <c r="M59" i="10"/>
  <c r="J59" i="10"/>
  <c r="J62" i="10" s="1"/>
  <c r="L58" i="10"/>
  <c r="K58" i="10"/>
  <c r="J58" i="10"/>
  <c r="H58" i="10"/>
  <c r="G58" i="10"/>
  <c r="M57" i="10"/>
  <c r="I57" i="10"/>
  <c r="I56" i="10"/>
  <c r="I58" i="10" s="1"/>
  <c r="L54" i="10"/>
  <c r="K54" i="10"/>
  <c r="J54" i="10"/>
  <c r="I54" i="10"/>
  <c r="H54" i="10"/>
  <c r="G54" i="10"/>
  <c r="M53" i="10"/>
  <c r="M52" i="10"/>
  <c r="M51" i="10"/>
  <c r="M50" i="10"/>
  <c r="M49" i="10"/>
  <c r="M48" i="10"/>
  <c r="L47" i="10"/>
  <c r="K47" i="10"/>
  <c r="J47" i="10"/>
  <c r="H47" i="10"/>
  <c r="G47" i="10"/>
  <c r="M46" i="10"/>
  <c r="I46" i="10"/>
  <c r="I45" i="10"/>
  <c r="M45" i="10" s="1"/>
  <c r="M44" i="10"/>
  <c r="I44" i="10"/>
  <c r="M43" i="10"/>
  <c r="M42" i="10"/>
  <c r="I42" i="10"/>
  <c r="I47" i="10" s="1"/>
  <c r="M41" i="10"/>
  <c r="M40" i="10"/>
  <c r="L39" i="10"/>
  <c r="J39" i="10"/>
  <c r="I39" i="10"/>
  <c r="H39" i="10"/>
  <c r="G39" i="10"/>
  <c r="M38" i="10"/>
  <c r="M37" i="10"/>
  <c r="M36" i="10"/>
  <c r="K36" i="10"/>
  <c r="I36" i="10"/>
  <c r="M35" i="10"/>
  <c r="K35" i="10"/>
  <c r="K39" i="10" s="1"/>
  <c r="J35" i="10"/>
  <c r="I35" i="10"/>
  <c r="M34" i="10"/>
  <c r="M39" i="10" s="1"/>
  <c r="L33" i="10"/>
  <c r="K33" i="10"/>
  <c r="J33" i="10"/>
  <c r="I33" i="10"/>
  <c r="H33" i="10"/>
  <c r="G33" i="10"/>
  <c r="M32" i="10"/>
  <c r="M31" i="10"/>
  <c r="J30" i="10"/>
  <c r="M30" i="10" s="1"/>
  <c r="M29" i="10"/>
  <c r="J29" i="10"/>
  <c r="L27" i="10"/>
  <c r="K27" i="10"/>
  <c r="J27" i="10"/>
  <c r="I27" i="10"/>
  <c r="H27" i="10"/>
  <c r="M26" i="10"/>
  <c r="K26" i="10"/>
  <c r="M25" i="10"/>
  <c r="M24" i="10"/>
  <c r="K24" i="10"/>
  <c r="K23" i="10"/>
  <c r="G23" i="10"/>
  <c r="M23" i="10" s="1"/>
  <c r="M22" i="10"/>
  <c r="M27" i="10" s="1"/>
  <c r="L21" i="10"/>
  <c r="K21" i="10"/>
  <c r="J21" i="10"/>
  <c r="H21" i="10"/>
  <c r="G21" i="10"/>
  <c r="M20" i="10"/>
  <c r="K20" i="10"/>
  <c r="I20" i="10"/>
  <c r="M19" i="10"/>
  <c r="M18" i="10"/>
  <c r="M17" i="10"/>
  <c r="M16" i="10"/>
  <c r="M15" i="10"/>
  <c r="K15" i="10"/>
  <c r="I15" i="10"/>
  <c r="I14" i="10"/>
  <c r="I21" i="10" s="1"/>
  <c r="M13" i="10"/>
  <c r="M11" i="10"/>
  <c r="M12" i="10" s="1"/>
  <c r="L11" i="10"/>
  <c r="K11" i="10"/>
  <c r="J11" i="10"/>
  <c r="I11" i="10"/>
  <c r="H11" i="10"/>
  <c r="G11" i="10"/>
  <c r="M10" i="10"/>
  <c r="L9" i="10"/>
  <c r="K9" i="10"/>
  <c r="J9" i="10"/>
  <c r="H9" i="10"/>
  <c r="G9" i="10"/>
  <c r="I8" i="10"/>
  <c r="M8" i="10" s="1"/>
  <c r="M7" i="10"/>
  <c r="M9" i="10" s="1"/>
  <c r="L6" i="10"/>
  <c r="L70" i="10" s="1"/>
  <c r="L76" i="10" s="1"/>
  <c r="L78" i="10" s="1"/>
  <c r="L81" i="10" s="1"/>
  <c r="K6" i="10"/>
  <c r="K77" i="10" s="1"/>
  <c r="J6" i="10"/>
  <c r="J77" i="10" s="1"/>
  <c r="I6" i="10"/>
  <c r="H6" i="10"/>
  <c r="H70" i="10" s="1"/>
  <c r="H76" i="10" s="1"/>
  <c r="H78" i="10" s="1"/>
  <c r="H81" i="10" s="1"/>
  <c r="G6" i="10"/>
  <c r="G77" i="10" s="1"/>
  <c r="M5" i="10"/>
  <c r="M4" i="10"/>
  <c r="M3" i="10"/>
  <c r="M77" i="10" l="1"/>
  <c r="M33" i="10"/>
  <c r="G27" i="10"/>
  <c r="J70" i="10"/>
  <c r="J76" i="10" s="1"/>
  <c r="J78" i="10" s="1"/>
  <c r="J81" i="10" s="1"/>
  <c r="I9" i="10"/>
  <c r="I70" i="10" s="1"/>
  <c r="I76" i="10" s="1"/>
  <c r="I78" i="10" s="1"/>
  <c r="I81" i="10" s="1"/>
  <c r="M14" i="10"/>
  <c r="M21" i="10" s="1"/>
  <c r="M70" i="10" s="1"/>
  <c r="M76" i="10" s="1"/>
  <c r="M56" i="10"/>
  <c r="G70" i="10"/>
  <c r="G76" i="10" s="1"/>
  <c r="G78" i="10" s="1"/>
  <c r="K70" i="10"/>
  <c r="K76" i="10" s="1"/>
  <c r="K78" i="10" s="1"/>
  <c r="K81" i="10" s="1"/>
  <c r="I77" i="10"/>
  <c r="M6" i="10"/>
  <c r="G81" i="10" l="1"/>
  <c r="M81" i="10" s="1"/>
  <c r="M78" i="10"/>
  <c r="M79" i="12" l="1"/>
  <c r="M78" i="12"/>
  <c r="L67" i="12"/>
  <c r="K67" i="12"/>
  <c r="J67" i="12"/>
  <c r="I67" i="12"/>
  <c r="H67" i="12"/>
  <c r="G67" i="12"/>
  <c r="M66" i="12"/>
  <c r="M67" i="12" s="1"/>
  <c r="L65" i="12"/>
  <c r="K65" i="12"/>
  <c r="J65" i="12"/>
  <c r="I65" i="12"/>
  <c r="H65" i="12"/>
  <c r="G65" i="12"/>
  <c r="M64" i="12"/>
  <c r="M63" i="12"/>
  <c r="M62" i="12"/>
  <c r="M61" i="12"/>
  <c r="L60" i="12"/>
  <c r="J60" i="12"/>
  <c r="H60" i="12"/>
  <c r="G60" i="12"/>
  <c r="M59" i="12"/>
  <c r="M58" i="12"/>
  <c r="M57" i="12"/>
  <c r="M56" i="12"/>
  <c r="K55" i="12"/>
  <c r="K60" i="12" s="1"/>
  <c r="I55" i="12"/>
  <c r="I60" i="12" s="1"/>
  <c r="L53" i="12"/>
  <c r="K53" i="12"/>
  <c r="J53" i="12"/>
  <c r="I53" i="12"/>
  <c r="H53" i="12"/>
  <c r="G53" i="12"/>
  <c r="M52" i="12"/>
  <c r="M51" i="12"/>
  <c r="M50" i="12"/>
  <c r="L49" i="12"/>
  <c r="K49" i="12"/>
  <c r="J49" i="12"/>
  <c r="H49" i="12"/>
  <c r="M48" i="12"/>
  <c r="M47" i="12"/>
  <c r="G47" i="12"/>
  <c r="G49" i="12" s="1"/>
  <c r="M46" i="12"/>
  <c r="M45" i="12"/>
  <c r="M44" i="12"/>
  <c r="M43" i="12"/>
  <c r="M42" i="12"/>
  <c r="I42" i="12"/>
  <c r="I49" i="12" s="1"/>
  <c r="H41" i="12"/>
  <c r="G41" i="12"/>
  <c r="M40" i="12"/>
  <c r="M39" i="12"/>
  <c r="L38" i="12"/>
  <c r="K38" i="12"/>
  <c r="K37" i="12"/>
  <c r="J37" i="12"/>
  <c r="I37" i="12"/>
  <c r="M36" i="12"/>
  <c r="I35" i="12"/>
  <c r="M35" i="12" s="1"/>
  <c r="L34" i="12"/>
  <c r="K34" i="12"/>
  <c r="J34" i="12"/>
  <c r="J41" i="12" s="1"/>
  <c r="I34" i="12"/>
  <c r="I41" i="12" s="1"/>
  <c r="K33" i="12"/>
  <c r="K41" i="12" s="1"/>
  <c r="L32" i="12"/>
  <c r="K32" i="12"/>
  <c r="J32" i="12"/>
  <c r="I32" i="12"/>
  <c r="H32" i="12"/>
  <c r="G32" i="12"/>
  <c r="M31" i="12"/>
  <c r="M30" i="12"/>
  <c r="M32" i="12" s="1"/>
  <c r="L28" i="12"/>
  <c r="J28" i="12"/>
  <c r="I28" i="12"/>
  <c r="H28" i="12"/>
  <c r="G28" i="12"/>
  <c r="M27" i="12"/>
  <c r="M26" i="12"/>
  <c r="M25" i="12"/>
  <c r="K25" i="12"/>
  <c r="M24" i="12"/>
  <c r="K24" i="12"/>
  <c r="M23" i="12"/>
  <c r="M28" i="12" s="1"/>
  <c r="K23" i="12"/>
  <c r="L22" i="12"/>
  <c r="J22" i="12"/>
  <c r="H22" i="12"/>
  <c r="G22" i="12"/>
  <c r="M21" i="12"/>
  <c r="M20" i="12"/>
  <c r="M19" i="12"/>
  <c r="M18" i="12"/>
  <c r="M17" i="12"/>
  <c r="I16" i="12"/>
  <c r="M16" i="12" s="1"/>
  <c r="M15" i="12"/>
  <c r="M14" i="12"/>
  <c r="M13" i="12"/>
  <c r="K12" i="12"/>
  <c r="M12" i="12" s="1"/>
  <c r="M11" i="12"/>
  <c r="K10" i="12"/>
  <c r="I10" i="12"/>
  <c r="L8" i="12"/>
  <c r="K8" i="12"/>
  <c r="J8" i="12"/>
  <c r="I8" i="12"/>
  <c r="H8" i="12"/>
  <c r="G8" i="12"/>
  <c r="M7" i="12"/>
  <c r="M8" i="12" s="1"/>
  <c r="M9" i="12" s="1"/>
  <c r="L6" i="12"/>
  <c r="K6" i="12"/>
  <c r="J6" i="12"/>
  <c r="I6" i="12"/>
  <c r="H6" i="12"/>
  <c r="G6" i="12"/>
  <c r="M5" i="12"/>
  <c r="M6" i="12" s="1"/>
  <c r="L4" i="12"/>
  <c r="L76" i="12" s="1"/>
  <c r="K4" i="12"/>
  <c r="K76" i="12" s="1"/>
  <c r="J4" i="12"/>
  <c r="J76" i="12" s="1"/>
  <c r="I4" i="12"/>
  <c r="I76" i="12" s="1"/>
  <c r="H4" i="12"/>
  <c r="H76" i="12" s="1"/>
  <c r="G4" i="12"/>
  <c r="G76" i="12" s="1"/>
  <c r="M3" i="12"/>
  <c r="M76" i="12" l="1"/>
  <c r="I22" i="12"/>
  <c r="M33" i="12"/>
  <c r="L41" i="12"/>
  <c r="M37" i="12"/>
  <c r="M65" i="12"/>
  <c r="K22" i="12"/>
  <c r="M49" i="12"/>
  <c r="M53" i="12"/>
  <c r="K28" i="12"/>
  <c r="M38" i="12"/>
  <c r="M34" i="12"/>
  <c r="M41" i="12" s="1"/>
  <c r="M55" i="12"/>
  <c r="M60" i="12" s="1"/>
  <c r="H69" i="12"/>
  <c r="H75" i="12" s="1"/>
  <c r="H77" i="12" s="1"/>
  <c r="H80" i="12" s="1"/>
  <c r="J69" i="12"/>
  <c r="J75" i="12" s="1"/>
  <c r="J77" i="12" s="1"/>
  <c r="J80" i="12" s="1"/>
  <c r="L69" i="12"/>
  <c r="L75" i="12" s="1"/>
  <c r="L77" i="12" s="1"/>
  <c r="L80" i="12" s="1"/>
  <c r="M4" i="12"/>
  <c r="M10" i="12"/>
  <c r="M22" i="12" s="1"/>
  <c r="G69" i="12"/>
  <c r="G75" i="12" s="1"/>
  <c r="G77" i="12" s="1"/>
  <c r="I69" i="12"/>
  <c r="I75" i="12" s="1"/>
  <c r="I77" i="12" s="1"/>
  <c r="I80" i="12" s="1"/>
  <c r="K69" i="12"/>
  <c r="K75" i="12" s="1"/>
  <c r="K77" i="12" s="1"/>
  <c r="K80" i="12" s="1"/>
  <c r="M69" i="12" l="1"/>
  <c r="M75" i="12" s="1"/>
  <c r="G80" i="12"/>
  <c r="M80" i="12" s="1"/>
  <c r="M77" i="12"/>
  <c r="M76" i="8" l="1"/>
  <c r="M75" i="8"/>
  <c r="L62" i="8"/>
  <c r="K62" i="8"/>
  <c r="J62" i="8"/>
  <c r="I62" i="8"/>
  <c r="H62" i="8"/>
  <c r="G62" i="8"/>
  <c r="M61" i="8"/>
  <c r="M60" i="8"/>
  <c r="M59" i="8"/>
  <c r="M62" i="8" s="1"/>
  <c r="L58" i="8"/>
  <c r="K58" i="8"/>
  <c r="J58" i="8"/>
  <c r="I58" i="8"/>
  <c r="H58" i="8"/>
  <c r="G58" i="8"/>
  <c r="M57" i="8"/>
  <c r="M58" i="8" s="1"/>
  <c r="L56" i="8"/>
  <c r="K56" i="8"/>
  <c r="I56" i="8"/>
  <c r="H56" i="8"/>
  <c r="G56" i="8"/>
  <c r="M55" i="8"/>
  <c r="M54" i="8"/>
  <c r="J53" i="8"/>
  <c r="M53" i="8" s="1"/>
  <c r="M56" i="8" s="1"/>
  <c r="L52" i="8"/>
  <c r="K52" i="8"/>
  <c r="J52" i="8"/>
  <c r="I52" i="8"/>
  <c r="H52" i="8"/>
  <c r="M51" i="8"/>
  <c r="M50" i="8"/>
  <c r="M49" i="8"/>
  <c r="M48" i="8"/>
  <c r="M47" i="8"/>
  <c r="M46" i="8"/>
  <c r="M45" i="8"/>
  <c r="M44" i="8"/>
  <c r="M43" i="8"/>
  <c r="M42" i="8"/>
  <c r="G41" i="8"/>
  <c r="M41" i="8" s="1"/>
  <c r="J40" i="8"/>
  <c r="I40" i="8"/>
  <c r="H40" i="8"/>
  <c r="G40" i="8"/>
  <c r="M39" i="8"/>
  <c r="M38" i="8"/>
  <c r="L37" i="8"/>
  <c r="K37" i="8"/>
  <c r="M37" i="8" s="1"/>
  <c r="L36" i="8"/>
  <c r="K36" i="8"/>
  <c r="L35" i="8"/>
  <c r="K35" i="8"/>
  <c r="K40" i="8" s="1"/>
  <c r="L34" i="8"/>
  <c r="K34" i="8"/>
  <c r="J34" i="8"/>
  <c r="H34" i="8"/>
  <c r="G34" i="8"/>
  <c r="I33" i="8"/>
  <c r="I34" i="8" s="1"/>
  <c r="M32" i="8"/>
  <c r="M31" i="8"/>
  <c r="L29" i="8"/>
  <c r="J29" i="8"/>
  <c r="I29" i="8"/>
  <c r="H29" i="8"/>
  <c r="M28" i="8"/>
  <c r="M27" i="8"/>
  <c r="M26" i="8"/>
  <c r="K25" i="8"/>
  <c r="M25" i="8" s="1"/>
  <c r="K24" i="8"/>
  <c r="G24" i="8"/>
  <c r="G29" i="8" s="1"/>
  <c r="M23" i="8"/>
  <c r="K22" i="8"/>
  <c r="M22" i="8" s="1"/>
  <c r="L21" i="8"/>
  <c r="H21" i="8"/>
  <c r="G21" i="8"/>
  <c r="M20" i="8"/>
  <c r="M19" i="8"/>
  <c r="M18" i="8"/>
  <c r="M17" i="8"/>
  <c r="M16" i="8"/>
  <c r="I15" i="8"/>
  <c r="I21" i="8" s="1"/>
  <c r="M14" i="8"/>
  <c r="K13" i="8"/>
  <c r="K21" i="8" s="1"/>
  <c r="J13" i="8"/>
  <c r="J21" i="8" s="1"/>
  <c r="L11" i="8"/>
  <c r="K11" i="8"/>
  <c r="J11" i="8"/>
  <c r="I11" i="8"/>
  <c r="H11" i="8"/>
  <c r="G11" i="8"/>
  <c r="M10" i="8"/>
  <c r="M9" i="8"/>
  <c r="M11" i="8" s="1"/>
  <c r="M12" i="8" s="1"/>
  <c r="L8" i="8"/>
  <c r="J8" i="8"/>
  <c r="I8" i="8"/>
  <c r="H8" i="8"/>
  <c r="M7" i="8"/>
  <c r="K6" i="8"/>
  <c r="K8" i="8" s="1"/>
  <c r="G6" i="8"/>
  <c r="G8" i="8" s="1"/>
  <c r="L5" i="8"/>
  <c r="L73" i="8" s="1"/>
  <c r="K5" i="8"/>
  <c r="J5" i="8"/>
  <c r="I5" i="8"/>
  <c r="I73" i="8" s="1"/>
  <c r="H5" i="8"/>
  <c r="H73" i="8" s="1"/>
  <c r="G5" i="8"/>
  <c r="G73" i="8" s="1"/>
  <c r="M4" i="8"/>
  <c r="M3" i="8"/>
  <c r="M52" i="8" l="1"/>
  <c r="M24" i="8"/>
  <c r="M29" i="8" s="1"/>
  <c r="M33" i="8"/>
  <c r="M5" i="8"/>
  <c r="M6" i="8"/>
  <c r="M8" i="8" s="1"/>
  <c r="M34" i="8"/>
  <c r="M36" i="8"/>
  <c r="J56" i="8"/>
  <c r="J66" i="8" s="1"/>
  <c r="I66" i="8"/>
  <c r="I72" i="8" s="1"/>
  <c r="I74" i="8" s="1"/>
  <c r="I77" i="8" s="1"/>
  <c r="M15" i="8"/>
  <c r="K29" i="8"/>
  <c r="K66" i="8" s="1"/>
  <c r="M35" i="8"/>
  <c r="M40" i="8" s="1"/>
  <c r="G52" i="8"/>
  <c r="G66" i="8"/>
  <c r="G72" i="8" s="1"/>
  <c r="G74" i="8" s="1"/>
  <c r="M13" i="8"/>
  <c r="H66" i="8"/>
  <c r="H72" i="8" s="1"/>
  <c r="H74" i="8" s="1"/>
  <c r="H77" i="8" s="1"/>
  <c r="J73" i="8"/>
  <c r="M73" i="8" s="1"/>
  <c r="L40" i="8"/>
  <c r="L66" i="8" s="1"/>
  <c r="L72" i="8" s="1"/>
  <c r="L74" i="8" s="1"/>
  <c r="L77" i="8" s="1"/>
  <c r="K73" i="8"/>
  <c r="M21" i="8" l="1"/>
  <c r="K72" i="8"/>
  <c r="K74" i="8" s="1"/>
  <c r="K77" i="8" s="1"/>
  <c r="G77" i="8"/>
  <c r="J72" i="8"/>
  <c r="J74" i="8" s="1"/>
  <c r="J77" i="8" s="1"/>
  <c r="M66" i="8"/>
  <c r="M72" i="8" s="1"/>
  <c r="M77" i="8" l="1"/>
  <c r="M74" i="8"/>
  <c r="M79" i="11" l="1"/>
  <c r="M78" i="11"/>
  <c r="L67" i="11"/>
  <c r="K67" i="11"/>
  <c r="J67" i="11"/>
  <c r="I67" i="11"/>
  <c r="H67" i="11"/>
  <c r="G67" i="11"/>
  <c r="M66" i="11"/>
  <c r="M65" i="11"/>
  <c r="M64" i="11"/>
  <c r="M67" i="11" s="1"/>
  <c r="M63" i="11"/>
  <c r="L62" i="11"/>
  <c r="K62" i="11"/>
  <c r="J62" i="11"/>
  <c r="I62" i="11"/>
  <c r="H62" i="11"/>
  <c r="G62" i="11"/>
  <c r="M61" i="11"/>
  <c r="M60" i="11"/>
  <c r="L59" i="11"/>
  <c r="K59" i="11"/>
  <c r="J59" i="11"/>
  <c r="I59" i="11"/>
  <c r="H59" i="11"/>
  <c r="G59" i="11"/>
  <c r="M58" i="11"/>
  <c r="M57" i="11"/>
  <c r="M56" i="11"/>
  <c r="M55" i="11"/>
  <c r="M54" i="11"/>
  <c r="M59" i="11" s="1"/>
  <c r="L52" i="11"/>
  <c r="K52" i="11"/>
  <c r="J52" i="11"/>
  <c r="I52" i="11"/>
  <c r="H52" i="11"/>
  <c r="G52" i="11"/>
  <c r="M51" i="11"/>
  <c r="M50" i="11"/>
  <c r="M49" i="11"/>
  <c r="M48" i="11"/>
  <c r="M47" i="11"/>
  <c r="L46" i="11"/>
  <c r="K46" i="11"/>
  <c r="J46" i="11"/>
  <c r="H46" i="11"/>
  <c r="G46" i="11"/>
  <c r="M45" i="11"/>
  <c r="M44" i="11"/>
  <c r="M43" i="11"/>
  <c r="I43" i="11"/>
  <c r="I46" i="11" s="1"/>
  <c r="M42" i="11"/>
  <c r="H41" i="11"/>
  <c r="G40" i="11"/>
  <c r="G41" i="11" s="1"/>
  <c r="K39" i="11"/>
  <c r="J39" i="11"/>
  <c r="M39" i="11" s="1"/>
  <c r="I39" i="11"/>
  <c r="I41" i="11" s="1"/>
  <c r="K38" i="11"/>
  <c r="J38" i="11"/>
  <c r="M38" i="11" s="1"/>
  <c r="J37" i="11"/>
  <c r="M36" i="11"/>
  <c r="L35" i="11"/>
  <c r="L41" i="11" s="1"/>
  <c r="K35" i="11"/>
  <c r="M35" i="11" s="1"/>
  <c r="J35" i="11"/>
  <c r="L34" i="11"/>
  <c r="K34" i="11"/>
  <c r="I34" i="11"/>
  <c r="H34" i="11"/>
  <c r="G34" i="11"/>
  <c r="M33" i="11"/>
  <c r="M32" i="11"/>
  <c r="J31" i="11"/>
  <c r="M31" i="11" s="1"/>
  <c r="L29" i="11"/>
  <c r="J29" i="11"/>
  <c r="I29" i="11"/>
  <c r="H29" i="11"/>
  <c r="G29" i="11"/>
  <c r="K28" i="11"/>
  <c r="G28" i="11"/>
  <c r="M28" i="11" s="1"/>
  <c r="K27" i="11"/>
  <c r="M27" i="11" s="1"/>
  <c r="G27" i="11"/>
  <c r="M26" i="11"/>
  <c r="K25" i="11"/>
  <c r="K24" i="11"/>
  <c r="M24" i="11" s="1"/>
  <c r="L23" i="11"/>
  <c r="I23" i="11"/>
  <c r="H23" i="11"/>
  <c r="G23" i="11"/>
  <c r="M22" i="11"/>
  <c r="J21" i="11"/>
  <c r="M21" i="11" s="1"/>
  <c r="M20" i="11"/>
  <c r="M19" i="11"/>
  <c r="M18" i="11"/>
  <c r="M17" i="11"/>
  <c r="M16" i="11"/>
  <c r="J15" i="11"/>
  <c r="M15" i="11" s="1"/>
  <c r="J14" i="11"/>
  <c r="M14" i="11" s="1"/>
  <c r="K13" i="11"/>
  <c r="K23" i="11" s="1"/>
  <c r="M12" i="11"/>
  <c r="J11" i="11"/>
  <c r="M11" i="11" s="1"/>
  <c r="M10" i="11"/>
  <c r="M9" i="11"/>
  <c r="L5" i="11"/>
  <c r="L76" i="11" s="1"/>
  <c r="K5" i="11"/>
  <c r="J5" i="11"/>
  <c r="I5" i="11"/>
  <c r="I76" i="11" s="1"/>
  <c r="H5" i="11"/>
  <c r="H76" i="11" s="1"/>
  <c r="G5" i="11"/>
  <c r="G76" i="11" s="1"/>
  <c r="M4" i="11"/>
  <c r="M3" i="11"/>
  <c r="K29" i="11" l="1"/>
  <c r="M34" i="11"/>
  <c r="J41" i="11"/>
  <c r="M62" i="11"/>
  <c r="M52" i="11"/>
  <c r="M46" i="11"/>
  <c r="M13" i="11"/>
  <c r="M23" i="11" s="1"/>
  <c r="J23" i="11"/>
  <c r="J69" i="11" s="1"/>
  <c r="J75" i="11" s="1"/>
  <c r="J77" i="11" s="1"/>
  <c r="J80" i="11" s="1"/>
  <c r="M40" i="11"/>
  <c r="G69" i="11"/>
  <c r="G75" i="11" s="1"/>
  <c r="G77" i="11" s="1"/>
  <c r="J34" i="11"/>
  <c r="K41" i="11"/>
  <c r="K69" i="11" s="1"/>
  <c r="K75" i="11" s="1"/>
  <c r="K77" i="11" s="1"/>
  <c r="K80" i="11" s="1"/>
  <c r="H69" i="11"/>
  <c r="H75" i="11" s="1"/>
  <c r="H77" i="11" s="1"/>
  <c r="H80" i="11" s="1"/>
  <c r="L69" i="11"/>
  <c r="L75" i="11" s="1"/>
  <c r="L77" i="11" s="1"/>
  <c r="L80" i="11" s="1"/>
  <c r="J76" i="11"/>
  <c r="M5" i="11"/>
  <c r="M6" i="11" s="1"/>
  <c r="M7" i="11" s="1"/>
  <c r="M8" i="11" s="1"/>
  <c r="I69" i="11"/>
  <c r="I75" i="11" s="1"/>
  <c r="I77" i="11" s="1"/>
  <c r="I80" i="11" s="1"/>
  <c r="K76" i="11"/>
  <c r="M76" i="11" s="1"/>
  <c r="M25" i="11"/>
  <c r="M29" i="11" s="1"/>
  <c r="M37" i="11"/>
  <c r="M69" i="11" l="1"/>
  <c r="M75" i="11" s="1"/>
  <c r="M41" i="11"/>
  <c r="M77" i="11"/>
  <c r="G80" i="11"/>
  <c r="M80" i="11" s="1"/>
</calcChain>
</file>

<file path=xl/sharedStrings.xml><?xml version="1.0" encoding="utf-8"?>
<sst xmlns="http://schemas.openxmlformats.org/spreadsheetml/2006/main" count="1077" uniqueCount="213">
  <si>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</si>
  <si>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</si>
  <si>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</si>
  <si>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</si>
  <si>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</si>
  <si>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</si>
  <si>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</si>
  <si>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</si>
  <si>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Rail/ Tube</t>
  </si>
  <si>
    <t>Taxi / Car / Parking</t>
  </si>
  <si>
    <t>Accommodation / Meals</t>
  </si>
  <si>
    <t>Other</t>
  </si>
  <si>
    <t>Total</t>
  </si>
  <si>
    <t>Peter Thompson</t>
  </si>
  <si>
    <t>Chief Executive</t>
  </si>
  <si>
    <t>Peter Thompson Subtotal</t>
  </si>
  <si>
    <t>Director of Compliance &amp; Information</t>
  </si>
  <si>
    <t>Nick Jones Subtotal</t>
  </si>
  <si>
    <t>Sally Cheshire</t>
  </si>
  <si>
    <t>Andy Greenfield</t>
  </si>
  <si>
    <t>Sally Cheshire Subtotal</t>
  </si>
  <si>
    <t>Rebekah Dundas</t>
  </si>
  <si>
    <t>Member</t>
  </si>
  <si>
    <t>Andy Greenfield Subtotal</t>
  </si>
  <si>
    <t>Alan Thornhill</t>
  </si>
  <si>
    <t>Sue Price Subtotal</t>
  </si>
  <si>
    <t>Lee Rayfield</t>
  </si>
  <si>
    <t>David Archard</t>
  </si>
  <si>
    <t>David Archard Subtotal</t>
  </si>
  <si>
    <t>SUMMARY</t>
  </si>
  <si>
    <t>1st Class/Open Rail</t>
  </si>
  <si>
    <t>TOTAL</t>
  </si>
  <si>
    <t>MEMBERS TOTALS</t>
  </si>
  <si>
    <t>SENIOR EXECUTIVE's TOTALS</t>
  </si>
  <si>
    <t>TOTAL MEMBERS &amp; DIRECTORS</t>
  </si>
  <si>
    <t>Other Staff</t>
  </si>
  <si>
    <t>GRAND TOTALS</t>
  </si>
  <si>
    <t>Chair</t>
  </si>
  <si>
    <t>N/A</t>
  </si>
  <si>
    <t>Rebekah Dundas Subtotal</t>
  </si>
  <si>
    <t>Sue Gallone</t>
  </si>
  <si>
    <t>Lee Rayfield Subtotal</t>
  </si>
  <si>
    <t>Taxi / Mileage / Parking</t>
  </si>
  <si>
    <t>Susan Price</t>
  </si>
  <si>
    <t>Juliet Tizzard</t>
  </si>
  <si>
    <t>Juliet Tizzard Subtotal</t>
  </si>
  <si>
    <t>Director of Resources</t>
  </si>
  <si>
    <t>External Advisors:</t>
  </si>
  <si>
    <t>Kate Brian</t>
  </si>
  <si>
    <t>Anthony Rutherford</t>
  </si>
  <si>
    <t>Anthony Rutherford Subtotal</t>
  </si>
  <si>
    <t xml:space="preserve"> MEMBERS &amp; DIRECTORS - EXPENSES CLAIMS / INVOICES RECEIVED BETWEEN 1ST APRIL AND 30TH JUNE 2015</t>
  </si>
  <si>
    <t>London to Leeds</t>
  </si>
  <si>
    <t>HFEA to DH</t>
  </si>
  <si>
    <t xml:space="preserve">Nick Jones </t>
  </si>
  <si>
    <t>Director of Strategy and Corporate Affairs</t>
  </si>
  <si>
    <t>Chair Day</t>
  </si>
  <si>
    <t>Stockport to London</t>
  </si>
  <si>
    <t>St. Mary's Opening</t>
  </si>
  <si>
    <t>Bramhall to Leeds</t>
  </si>
  <si>
    <t>14/04/2015; 13/04/2015</t>
  </si>
  <si>
    <t>Annual Conference</t>
  </si>
  <si>
    <t>16-17/03/2015</t>
  </si>
  <si>
    <t>Authority Meeting</t>
  </si>
  <si>
    <t>Chair Day &amp; ALB Chairs Meeting</t>
  </si>
  <si>
    <t>Northern Nurses Conference &amp; Leeds IVF Visit</t>
  </si>
  <si>
    <t>11/06/2015; 15/06/2015</t>
  </si>
  <si>
    <t>Chair Day &amp; DH Meeting</t>
  </si>
  <si>
    <t>14/04/2015; 27/04/2015</t>
  </si>
  <si>
    <t xml:space="preserve">SAC Meeting </t>
  </si>
  <si>
    <t>London</t>
  </si>
  <si>
    <t>02/06/2015; 03/06/2015</t>
  </si>
  <si>
    <t>02/06/2015; 20/05/2015; 14/04/2015; 27/05/2015</t>
  </si>
  <si>
    <t>29/04/2015 - 01/05/2015</t>
  </si>
  <si>
    <t>Belfast to London</t>
  </si>
  <si>
    <t>02/06/2015; 20/05//2015; 17/06/2015</t>
  </si>
  <si>
    <t>13/05/20155</t>
  </si>
  <si>
    <t>Anita Bharucha</t>
  </si>
  <si>
    <t>Induction Training; Authority Meeting</t>
  </si>
  <si>
    <t>30/04/2015; 13/05/2015</t>
  </si>
  <si>
    <t>Didcot Parkway to London</t>
  </si>
  <si>
    <t>Anita Bharucha Subtotal</t>
  </si>
  <si>
    <t>Annual Conference; AGC</t>
  </si>
  <si>
    <t>17&amp;18/03/2015</t>
  </si>
  <si>
    <t>Connel to London</t>
  </si>
  <si>
    <t xml:space="preserve">Lifecycle Meeting </t>
  </si>
  <si>
    <t>Connel to Oban</t>
  </si>
  <si>
    <t>ALB Chairs Meeting</t>
  </si>
  <si>
    <t>02/06/2015; 20/05/2015</t>
  </si>
  <si>
    <t>06 - 13/05/2015</t>
  </si>
  <si>
    <t>Margaret Gilmore</t>
  </si>
  <si>
    <t>Midgham to London</t>
  </si>
  <si>
    <t xml:space="preserve">SMC - Mitochondria </t>
  </si>
  <si>
    <t>Margaret Gilmore Subtotal</t>
  </si>
  <si>
    <t>Mini- SCAAC Meeting</t>
  </si>
  <si>
    <t>Licence Committee</t>
  </si>
  <si>
    <t>Yacoub Khalaf Subtotal</t>
  </si>
  <si>
    <t>Corby to London</t>
  </si>
  <si>
    <t>02/06/2015; 18/05/2015</t>
  </si>
  <si>
    <t>29-30/04/2015</t>
  </si>
  <si>
    <t>Northampton to London</t>
  </si>
  <si>
    <t>SCAAC Meeting</t>
  </si>
  <si>
    <t>Authority Meeting; Licence Committee</t>
  </si>
  <si>
    <t>11&amp;12/03/2015</t>
  </si>
  <si>
    <t>Swindon to London</t>
  </si>
  <si>
    <t>Leeds to London</t>
  </si>
  <si>
    <t>Induction Training</t>
  </si>
  <si>
    <t>Durham to London</t>
  </si>
  <si>
    <t xml:space="preserve"> MEMBERS &amp; DIRECTORS - EXPENSES CLAIMS / INVOICES RECEIVED BETWEEN 1ST JULY AND 30TH SEPTEMBER 2015</t>
  </si>
  <si>
    <t>DH/LS Assessment</t>
  </si>
  <si>
    <t>London to Bristol</t>
  </si>
  <si>
    <t>NIB Leadership Summit</t>
  </si>
  <si>
    <t>London to Manchester</t>
  </si>
  <si>
    <t>ARTHIQS Project Meeting</t>
  </si>
  <si>
    <t>London to Lisbon</t>
  </si>
  <si>
    <t>BFS Executive</t>
  </si>
  <si>
    <t>05/08/15; 24/08/2015</t>
  </si>
  <si>
    <t>Book Launch at Bourn Hall</t>
  </si>
  <si>
    <t xml:space="preserve">London to Cambridge </t>
  </si>
  <si>
    <t>CrispR Meeting</t>
  </si>
  <si>
    <t>Chair Day &amp; Lister Visit</t>
  </si>
  <si>
    <t>Chair Day &amp; Guy's Visit</t>
  </si>
  <si>
    <t xml:space="preserve">Chair Day &amp; Authority Meeting </t>
  </si>
  <si>
    <t>Chair Day, ALB, HTA Conference</t>
  </si>
  <si>
    <t>Authority</t>
  </si>
  <si>
    <t>06/07/15; 06/07/15</t>
  </si>
  <si>
    <t>SAC</t>
  </si>
  <si>
    <t>Manchester to London</t>
  </si>
  <si>
    <t>07/09/15; 05/08/15; 12/08/2015</t>
  </si>
  <si>
    <t>07/09/15; 05/08/15; 22/09/2015</t>
  </si>
  <si>
    <t>05/08/15; 28/09/2015</t>
  </si>
  <si>
    <t>06/07/15; 16/07/2015</t>
  </si>
  <si>
    <t>07/09/15; 24/09/2015</t>
  </si>
  <si>
    <t>05/08/15; 07/09/15</t>
  </si>
  <si>
    <t>06/07/15; 13/07/2015</t>
  </si>
  <si>
    <t>AGC</t>
  </si>
  <si>
    <t>Glasgow to London</t>
  </si>
  <si>
    <t>05/08/15; 06/07/2015</t>
  </si>
  <si>
    <t>Midgham to Moorgate</t>
  </si>
  <si>
    <t>AGC/SCAAC</t>
  </si>
  <si>
    <t>SAC/ELP</t>
  </si>
  <si>
    <t>Mitochondria Workshop</t>
  </si>
  <si>
    <t>Midgham to Old Street</t>
  </si>
  <si>
    <t xml:space="preserve">DH ALB Ned's Session </t>
  </si>
  <si>
    <t xml:space="preserve">Triennial Review </t>
  </si>
  <si>
    <t>Appeals Committee Interviews</t>
  </si>
  <si>
    <t>Triennial Review</t>
  </si>
  <si>
    <t xml:space="preserve">Yacoub Khalaf </t>
  </si>
  <si>
    <t>SCAAC</t>
  </si>
  <si>
    <t>05/08/15; 11/08/2015</t>
  </si>
  <si>
    <t xml:space="preserve"> MEMBERS &amp; DIRECTORS - EXPENSES CLAIMS / INVOICES RECEIVED BETWEEN 1ST OCTOBER AND 31ST DECEMBER 2015</t>
  </si>
  <si>
    <t>Working Vist to Newcastle</t>
  </si>
  <si>
    <t>London to Newcastle</t>
  </si>
  <si>
    <t>Mitochondria Donation Meeting</t>
  </si>
  <si>
    <t>London to Bristol Temple Meads</t>
  </si>
  <si>
    <t>Chair Day &amp; Trennial Review</t>
  </si>
  <si>
    <t>Appeal Committee Interview</t>
  </si>
  <si>
    <t>13/10/2015; 01/10/2015</t>
  </si>
  <si>
    <t xml:space="preserve"> Authority Interviews</t>
  </si>
  <si>
    <t xml:space="preserve">Chair Day </t>
  </si>
  <si>
    <t>13/10/2015; 15/10/2015</t>
  </si>
  <si>
    <t>DH ALB Summer Conference</t>
  </si>
  <si>
    <t>02/12/2015; 25/11/2015</t>
  </si>
  <si>
    <t>HFEA; RCOG Dinner</t>
  </si>
  <si>
    <t>19-20/11/2015</t>
  </si>
  <si>
    <t>Stockport to Newcastle</t>
  </si>
  <si>
    <t>05/11/2015; 23/11/2015</t>
  </si>
  <si>
    <t>02/12/2015; 05/11/2015; 09/12/2015</t>
  </si>
  <si>
    <t>05/11/2015; 29/12/2015</t>
  </si>
  <si>
    <t>13/10/2015; 02/12/2015</t>
  </si>
  <si>
    <t>Audit Chairs Meeting</t>
  </si>
  <si>
    <t>05/11/2015; 13/10/2015; 02/12/2015</t>
  </si>
  <si>
    <t>02/12/2015; 13/10/2015</t>
  </si>
  <si>
    <t>Didcot to London</t>
  </si>
  <si>
    <t>Market Harborough to London</t>
  </si>
  <si>
    <t>05/11/2015; 09/11/2015</t>
  </si>
  <si>
    <t>02/12/2015; 10/12/2015</t>
  </si>
  <si>
    <t>02/12/2015; 21/12/2015</t>
  </si>
  <si>
    <t xml:space="preserve"> MEMBERS &amp; DIRECTORS - EXPENSES CLAIMS / INVOICES RECEIVED BETWEEN 1ST JANUARY AND 31ST MARCH 2016</t>
  </si>
  <si>
    <t>BFS Conference</t>
  </si>
  <si>
    <t>Bourn Hall Visit</t>
  </si>
  <si>
    <t>London to Cambridge</t>
  </si>
  <si>
    <t>Wilton Park Visit</t>
  </si>
  <si>
    <t>London to Shoreham-by-Sea</t>
  </si>
  <si>
    <t>05/02/2016; 07/01/2016</t>
  </si>
  <si>
    <t>MP Attachment</t>
  </si>
  <si>
    <t>London to Chester</t>
  </si>
  <si>
    <t>07/01/2016; 02/03/2016</t>
  </si>
  <si>
    <t>Director of Finance and Resources</t>
  </si>
  <si>
    <t>07/01/2016; 05/02/2016</t>
  </si>
  <si>
    <t>Newcastle Centre</t>
  </si>
  <si>
    <t>All Staff Day</t>
  </si>
  <si>
    <t>Authority/Bourn Hall Visit</t>
  </si>
  <si>
    <t>Stockport to Preston to London</t>
  </si>
  <si>
    <t>Hotel</t>
  </si>
  <si>
    <t>05/02/2016; 07/01/2016; 03/02/2016</t>
  </si>
  <si>
    <t>05/02/2016; 07/01/2016; 10/02/2016</t>
  </si>
  <si>
    <t>02/03/2016; 15/03/2016</t>
  </si>
  <si>
    <t>02/03/2016; 05/02/2016; 16/03/2016</t>
  </si>
  <si>
    <t>05/02/2016; 03/02/2016</t>
  </si>
  <si>
    <t>07/01/2016; 04/01/2016</t>
  </si>
  <si>
    <t>Sleeper Tickets</t>
  </si>
  <si>
    <t>Appointments Committee</t>
  </si>
  <si>
    <t>PET Conference</t>
  </si>
  <si>
    <t>Anne Lampe</t>
  </si>
  <si>
    <t>05/02/2016; 17/02/2016</t>
  </si>
  <si>
    <t>Edinburgh to London</t>
  </si>
  <si>
    <t>02/03/2016; 22/03/2016</t>
  </si>
  <si>
    <t>Ruth Wilde</t>
  </si>
  <si>
    <t>Training</t>
  </si>
  <si>
    <t>Grateley to London</t>
  </si>
  <si>
    <t>DH Winter Conference</t>
  </si>
  <si>
    <t>Audit Committee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</si>
</sst>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dd\-mm\-yyyy"/>
    <numFmt numFmtId="167" formatCode="_-* #,##0.000_-;\-* #,##0.000_-;_-* &quot;-&quot;??_-;_-@_-"/>
  </numFmts>
  <fonts count="2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18"/>
      <color theme="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99CC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5" borderId="0" applyNumberFormat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6" borderId="0" applyNumberFormat="0" applyBorder="0" applyAlignment="0" applyProtection="0"/>
    <xf numFmtId="0" fontId="3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4" fillId="14" borderId="23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9" applyNumberFormat="0" applyAlignment="0" applyProtection="0"/>
    <xf numFmtId="0" fontId="20" fillId="12" borderId="20" applyNumberFormat="0" applyAlignment="0" applyProtection="0"/>
    <xf numFmtId="0" fontId="21" fillId="12" borderId="19" applyNumberFormat="0" applyAlignment="0" applyProtection="0"/>
    <xf numFmtId="0" fontId="22" fillId="0" borderId="21" applyNumberFormat="0" applyFill="0" applyAlignment="0" applyProtection="0"/>
    <xf numFmtId="0" fontId="23" fillId="13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5" fillId="37" borderId="0" applyNumberFormat="0" applyBorder="0" applyAlignment="0" applyProtection="0"/>
  </cellStyleXfs>
  <cellXfs count="109">
    <xf numFmtId="0" fontId="0" fillId="0" borderId="0" xfId="0"/>
    <xf numFmtId="43" fontId="8" fillId="5" borderId="1" xfId="2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14" fontId="1" fillId="2" borderId="2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43" fontId="1" fillId="2" borderId="2" xfId="2" applyFont="1" applyFill="1" applyBorder="1" applyAlignment="1">
      <alignment horizontal="center" wrapText="1"/>
    </xf>
    <xf numFmtId="0" fontId="9" fillId="7" borderId="2" xfId="0" applyFont="1" applyFill="1" applyBorder="1"/>
    <xf numFmtId="0" fontId="10" fillId="7" borderId="2" xfId="0" applyFont="1" applyFill="1" applyBorder="1"/>
    <xf numFmtId="14" fontId="9" fillId="7" borderId="2" xfId="0" applyNumberFormat="1" applyFont="1" applyFill="1" applyBorder="1" applyAlignment="1">
      <alignment horizontal="left"/>
    </xf>
    <xf numFmtId="0" fontId="11" fillId="7" borderId="2" xfId="0" applyFont="1" applyFill="1" applyBorder="1" applyAlignment="1"/>
    <xf numFmtId="14" fontId="10" fillId="7" borderId="2" xfId="0" applyNumberFormat="1" applyFont="1" applyFill="1" applyBorder="1" applyAlignment="1">
      <alignment horizontal="left"/>
    </xf>
    <xf numFmtId="43" fontId="11" fillId="7" borderId="2" xfId="2" applyFont="1" applyFill="1" applyBorder="1"/>
    <xf numFmtId="14" fontId="2" fillId="3" borderId="2" xfId="0" applyNumberFormat="1" applyFont="1" applyFill="1" applyBorder="1"/>
    <xf numFmtId="0" fontId="2" fillId="3" borderId="2" xfId="0" applyFont="1" applyFill="1" applyBorder="1"/>
    <xf numFmtId="43" fontId="2" fillId="3" borderId="2" xfId="2" applyFont="1" applyFill="1" applyBorder="1"/>
    <xf numFmtId="0" fontId="9" fillId="4" borderId="2" xfId="0" applyFont="1" applyFill="1" applyBorder="1"/>
    <xf numFmtId="0" fontId="10" fillId="4" borderId="2" xfId="0" applyFont="1" applyFill="1" applyBorder="1"/>
    <xf numFmtId="165" fontId="10" fillId="4" borderId="2" xfId="0" applyNumberFormat="1" applyFont="1" applyFill="1" applyBorder="1" applyAlignment="1">
      <alignment horizontal="left"/>
    </xf>
    <xf numFmtId="0" fontId="11" fillId="4" borderId="2" xfId="0" applyFont="1" applyFill="1" applyBorder="1" applyAlignment="1"/>
    <xf numFmtId="14" fontId="10" fillId="4" borderId="2" xfId="0" applyNumberFormat="1" applyFont="1" applyFill="1" applyBorder="1" applyAlignment="1">
      <alignment horizontal="left"/>
    </xf>
    <xf numFmtId="14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/>
    <xf numFmtId="166" fontId="2" fillId="3" borderId="2" xfId="0" applyNumberFormat="1" applyFont="1" applyFill="1" applyBorder="1" applyAlignment="1">
      <alignment horizontal="left"/>
    </xf>
    <xf numFmtId="14" fontId="10" fillId="7" borderId="2" xfId="0" applyNumberFormat="1" applyFont="1" applyFill="1" applyBorder="1" applyAlignment="1">
      <alignment horizontal="right"/>
    </xf>
    <xf numFmtId="0" fontId="10" fillId="0" borderId="0" xfId="0" applyFont="1"/>
    <xf numFmtId="14" fontId="10" fillId="0" borderId="0" xfId="0" applyNumberFormat="1" applyFont="1"/>
    <xf numFmtId="43" fontId="10" fillId="0" borderId="0" xfId="0" applyNumberFormat="1" applyFont="1"/>
    <xf numFmtId="43" fontId="11" fillId="0" borderId="3" xfId="2" applyFont="1" applyBorder="1"/>
    <xf numFmtId="43" fontId="1" fillId="2" borderId="4" xfId="2" applyFont="1" applyFill="1" applyBorder="1" applyAlignment="1">
      <alignment horizontal="center" wrapText="1"/>
    </xf>
    <xf numFmtId="43" fontId="1" fillId="2" borderId="5" xfId="2" applyFont="1" applyFill="1" applyBorder="1" applyAlignment="1">
      <alignment horizontal="center" wrapText="1"/>
    </xf>
    <xf numFmtId="43" fontId="1" fillId="8" borderId="6" xfId="2" applyFont="1" applyFill="1" applyBorder="1"/>
    <xf numFmtId="43" fontId="2" fillId="8" borderId="6" xfId="2" applyFont="1" applyFill="1" applyBorder="1" applyAlignment="1">
      <alignment horizontal="center"/>
    </xf>
    <xf numFmtId="14" fontId="2" fillId="3" borderId="2" xfId="0" applyNumberFormat="1" applyFont="1" applyFill="1" applyBorder="1" applyAlignment="1"/>
    <xf numFmtId="43" fontId="11" fillId="4" borderId="2" xfId="2" applyFont="1" applyFill="1" applyBorder="1"/>
    <xf numFmtId="0" fontId="11" fillId="6" borderId="7" xfId="5" applyFont="1" applyBorder="1" applyAlignment="1">
      <alignment horizontal="center"/>
    </xf>
    <xf numFmtId="43" fontId="11" fillId="6" borderId="8" xfId="2" applyFont="1" applyFill="1" applyBorder="1" applyAlignment="1">
      <alignment horizontal="center"/>
    </xf>
    <xf numFmtId="43" fontId="11" fillId="6" borderId="9" xfId="2" applyFont="1" applyFill="1" applyBorder="1" applyAlignment="1">
      <alignment horizontal="center"/>
    </xf>
    <xf numFmtId="43" fontId="11" fillId="8" borderId="6" xfId="2" applyFont="1" applyFill="1" applyBorder="1"/>
    <xf numFmtId="0" fontId="6" fillId="0" borderId="0" xfId="0" applyFont="1"/>
    <xf numFmtId="0" fontId="6" fillId="0" borderId="0" xfId="0" applyFont="1" applyFill="1"/>
    <xf numFmtId="14" fontId="6" fillId="0" borderId="0" xfId="0" applyNumberFormat="1" applyFont="1"/>
    <xf numFmtId="43" fontId="6" fillId="0" borderId="0" xfId="2" applyFont="1"/>
    <xf numFmtId="164" fontId="1" fillId="2" borderId="10" xfId="0" applyNumberFormat="1" applyFont="1" applyFill="1" applyBorder="1" applyAlignment="1">
      <alignment horizontal="center" wrapText="1"/>
    </xf>
    <xf numFmtId="43" fontId="1" fillId="2" borderId="11" xfId="2" applyFont="1" applyFill="1" applyBorder="1" applyAlignment="1">
      <alignment horizontal="center" wrapText="1"/>
    </xf>
    <xf numFmtId="0" fontId="1" fillId="3" borderId="12" xfId="0" applyFont="1" applyFill="1" applyBorder="1"/>
    <xf numFmtId="0" fontId="11" fillId="3" borderId="12" xfId="0" applyFont="1" applyFill="1" applyBorder="1"/>
    <xf numFmtId="167" fontId="2" fillId="8" borderId="6" xfId="2" applyNumberFormat="1" applyFont="1" applyFill="1" applyBorder="1" applyAlignment="1">
      <alignment horizontal="center"/>
    </xf>
    <xf numFmtId="0" fontId="1" fillId="4" borderId="13" xfId="0" applyFont="1" applyFill="1" applyBorder="1"/>
    <xf numFmtId="43" fontId="1" fillId="4" borderId="14" xfId="2" applyFont="1" applyFill="1" applyBorder="1"/>
    <xf numFmtId="0" fontId="12" fillId="0" borderId="0" xfId="0" applyFont="1"/>
    <xf numFmtId="43" fontId="1" fillId="4" borderId="15" xfId="2" applyFont="1" applyFill="1" applyBorder="1"/>
    <xf numFmtId="49" fontId="8" fillId="5" borderId="1" xfId="1" applyNumberFormat="1" applyFont="1" applyBorder="1" applyAlignment="1"/>
    <xf numFmtId="22" fontId="12" fillId="0" borderId="0" xfId="0" applyNumberFormat="1" applyFont="1"/>
    <xf numFmtId="0" fontId="2" fillId="0" borderId="0" xfId="0" applyFont="1" applyFill="1" applyBorder="1" applyAlignment="1"/>
    <xf numFmtId="43" fontId="11" fillId="0" borderId="0" xfId="2" applyFont="1" applyBorder="1"/>
    <xf numFmtId="49" fontId="8" fillId="5" borderId="1" xfId="1" applyNumberFormat="1" applyFont="1" applyBorder="1" applyAlignment="1"/>
    <xf numFmtId="43" fontId="8" fillId="5" borderId="1" xfId="2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14" fontId="1" fillId="2" borderId="2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43" fontId="1" fillId="2" borderId="2" xfId="2" applyFont="1" applyFill="1" applyBorder="1" applyAlignment="1">
      <alignment horizontal="center" wrapText="1"/>
    </xf>
    <xf numFmtId="14" fontId="2" fillId="3" borderId="2" xfId="0" applyNumberFormat="1" applyFont="1" applyFill="1" applyBorder="1"/>
    <xf numFmtId="0" fontId="2" fillId="3" borderId="2" xfId="0" applyFont="1" applyFill="1" applyBorder="1"/>
    <xf numFmtId="43" fontId="2" fillId="3" borderId="2" xfId="2" applyFont="1" applyFill="1" applyBorder="1"/>
    <xf numFmtId="0" fontId="9" fillId="4" borderId="2" xfId="0" applyFont="1" applyFill="1" applyBorder="1"/>
    <xf numFmtId="0" fontId="10" fillId="4" borderId="2" xfId="0" applyFont="1" applyFill="1" applyBorder="1"/>
    <xf numFmtId="165" fontId="10" fillId="4" borderId="2" xfId="0" applyNumberFormat="1" applyFont="1" applyFill="1" applyBorder="1" applyAlignment="1">
      <alignment horizontal="left"/>
    </xf>
    <xf numFmtId="0" fontId="11" fillId="4" borderId="2" xfId="0" applyFont="1" applyFill="1" applyBorder="1" applyAlignment="1"/>
    <xf numFmtId="14" fontId="10" fillId="4" borderId="2" xfId="0" applyNumberFormat="1" applyFont="1" applyFill="1" applyBorder="1" applyAlignment="1">
      <alignment horizontal="left"/>
    </xf>
    <xf numFmtId="43" fontId="11" fillId="4" borderId="2" xfId="2" applyFont="1" applyFill="1" applyBorder="1"/>
    <xf numFmtId="14" fontId="2" fillId="3" borderId="2" xfId="0" applyNumberFormat="1" applyFont="1" applyFill="1" applyBorder="1" applyAlignment="1">
      <alignment horizontal="right"/>
    </xf>
    <xf numFmtId="166" fontId="2" fillId="3" borderId="2" xfId="0" applyNumberFormat="1" applyFont="1" applyFill="1" applyBorder="1" applyAlignment="1">
      <alignment horizontal="left"/>
    </xf>
    <xf numFmtId="0" fontId="9" fillId="7" borderId="2" xfId="0" applyFont="1" applyFill="1" applyBorder="1"/>
    <xf numFmtId="0" fontId="10" fillId="7" borderId="2" xfId="0" applyFont="1" applyFill="1" applyBorder="1"/>
    <xf numFmtId="14" fontId="9" fillId="7" borderId="2" xfId="0" applyNumberFormat="1" applyFont="1" applyFill="1" applyBorder="1" applyAlignment="1">
      <alignment horizontal="left"/>
    </xf>
    <xf numFmtId="0" fontId="11" fillId="7" borderId="2" xfId="0" applyFont="1" applyFill="1" applyBorder="1" applyAlignment="1"/>
    <xf numFmtId="14" fontId="10" fillId="7" borderId="2" xfId="0" applyNumberFormat="1" applyFont="1" applyFill="1" applyBorder="1" applyAlignment="1">
      <alignment horizontal="left"/>
    </xf>
    <xf numFmtId="43" fontId="11" fillId="7" borderId="2" xfId="2" applyFont="1" applyFill="1" applyBorder="1"/>
    <xf numFmtId="0" fontId="2" fillId="3" borderId="2" xfId="0" applyFont="1" applyFill="1" applyBorder="1" applyAlignment="1"/>
    <xf numFmtId="14" fontId="2" fillId="3" borderId="2" xfId="0" applyNumberFormat="1" applyFont="1" applyFill="1" applyBorder="1" applyAlignment="1"/>
    <xf numFmtId="0" fontId="2" fillId="0" borderId="0" xfId="0" applyFont="1" applyFill="1" applyBorder="1" applyAlignment="1"/>
    <xf numFmtId="14" fontId="10" fillId="7" borderId="2" xfId="0" applyNumberFormat="1" applyFont="1" applyFill="1" applyBorder="1" applyAlignment="1">
      <alignment horizontal="right"/>
    </xf>
    <xf numFmtId="0" fontId="10" fillId="0" borderId="0" xfId="0" applyFont="1"/>
    <xf numFmtId="14" fontId="10" fillId="0" borderId="0" xfId="0" applyNumberFormat="1" applyFont="1"/>
    <xf numFmtId="43" fontId="10" fillId="0" borderId="0" xfId="0" applyNumberFormat="1" applyFont="1"/>
    <xf numFmtId="43" fontId="11" fillId="0" borderId="3" xfId="2" applyFont="1" applyBorder="1"/>
    <xf numFmtId="0" fontId="6" fillId="0" borderId="0" xfId="0" applyFont="1"/>
    <xf numFmtId="14" fontId="6" fillId="0" borderId="0" xfId="0" applyNumberFormat="1" applyFont="1"/>
    <xf numFmtId="43" fontId="6" fillId="0" borderId="0" xfId="2" applyFont="1"/>
    <xf numFmtId="43" fontId="11" fillId="0" borderId="0" xfId="2" applyFont="1" applyBorder="1"/>
    <xf numFmtId="22" fontId="12" fillId="0" borderId="0" xfId="0" applyNumberFormat="1" applyFont="1"/>
    <xf numFmtId="0" fontId="11" fillId="6" borderId="7" xfId="5" applyFont="1" applyBorder="1" applyAlignment="1">
      <alignment horizontal="center"/>
    </xf>
    <xf numFmtId="43" fontId="11" fillId="6" borderId="8" xfId="2" applyFont="1" applyFill="1" applyBorder="1" applyAlignment="1">
      <alignment horizontal="center"/>
    </xf>
    <xf numFmtId="43" fontId="11" fillId="6" borderId="9" xfId="2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wrapText="1"/>
    </xf>
    <xf numFmtId="43" fontId="1" fillId="2" borderId="11" xfId="2" applyFont="1" applyFill="1" applyBorder="1" applyAlignment="1">
      <alignment horizontal="center" wrapText="1"/>
    </xf>
    <xf numFmtId="43" fontId="1" fillId="2" borderId="4" xfId="2" applyFont="1" applyFill="1" applyBorder="1" applyAlignment="1">
      <alignment horizontal="center" wrapText="1"/>
    </xf>
    <xf numFmtId="43" fontId="1" fillId="2" borderId="5" xfId="2" applyFont="1" applyFill="1" applyBorder="1" applyAlignment="1">
      <alignment horizontal="center" wrapText="1"/>
    </xf>
    <xf numFmtId="0" fontId="6" fillId="0" borderId="0" xfId="0" applyFont="1" applyFill="1"/>
    <xf numFmtId="0" fontId="1" fillId="3" borderId="12" xfId="0" applyFont="1" applyFill="1" applyBorder="1"/>
    <xf numFmtId="43" fontId="1" fillId="8" borderId="6" xfId="2" applyFont="1" applyFill="1" applyBorder="1"/>
    <xf numFmtId="0" fontId="11" fillId="3" borderId="12" xfId="0" applyFont="1" applyFill="1" applyBorder="1"/>
    <xf numFmtId="43" fontId="11" fillId="8" borderId="6" xfId="2" applyFont="1" applyFill="1" applyBorder="1"/>
    <xf numFmtId="43" fontId="2" fillId="8" borderId="6" xfId="2" applyFont="1" applyFill="1" applyBorder="1" applyAlignment="1">
      <alignment horizontal="center"/>
    </xf>
    <xf numFmtId="167" fontId="2" fillId="8" borderId="6" xfId="2" applyNumberFormat="1" applyFont="1" applyFill="1" applyBorder="1" applyAlignment="1">
      <alignment horizontal="center"/>
    </xf>
    <xf numFmtId="0" fontId="1" fillId="4" borderId="13" xfId="0" applyFont="1" applyFill="1" applyBorder="1"/>
    <xf numFmtId="43" fontId="1" fillId="4" borderId="14" xfId="2" applyFont="1" applyFill="1" applyBorder="1"/>
    <xf numFmtId="43" fontId="1" fillId="4" borderId="15" xfId="2" applyFont="1" applyFill="1" applyBorder="1"/>
    <xf numFmtId="43" fontId="12" fillId="0" borderId="0" xfId="0" applyNumberFormat="1" applyFont="1"/>
  </cellXfs>
  <cellStyles count="50">
    <cellStyle name="20% - Accent1 2" xfId="28"/>
    <cellStyle name="20% - Accent2 2" xfId="32"/>
    <cellStyle name="20% - Accent3 2" xfId="36"/>
    <cellStyle name="20% - Accent4 2" xfId="40"/>
    <cellStyle name="20% - Accent5 2" xfId="43"/>
    <cellStyle name="20% - Accent6 2" xfId="47"/>
    <cellStyle name="40% - Accent1 2" xfId="29"/>
    <cellStyle name="40% - Accent2 2" xfId="33"/>
    <cellStyle name="40% - Accent3 2" xfId="37"/>
    <cellStyle name="40% - Accent4 2" xfId="41"/>
    <cellStyle name="40% - Accent5 2" xfId="44"/>
    <cellStyle name="40% - Accent6 2" xfId="48"/>
    <cellStyle name="60% - Accent1 2" xfId="30"/>
    <cellStyle name="60% - Accent2 2" xfId="34"/>
    <cellStyle name="60% - Accent3 2" xfId="38"/>
    <cellStyle name="60% - Accent4 2" xfId="42"/>
    <cellStyle name="60% - Accent5 2" xfId="45"/>
    <cellStyle name="60% - Accent6 2" xfId="49"/>
    <cellStyle name="Accent1 2" xfId="27"/>
    <cellStyle name="Accent2 2" xfId="31"/>
    <cellStyle name="Accent3 2" xfId="35"/>
    <cellStyle name="Accent4 2" xfId="39"/>
    <cellStyle name="Accent5" xfId="1" builtinId="45" customBuiltin="1"/>
    <cellStyle name="Accent6 2" xfId="46"/>
    <cellStyle name="Bad 2" xfId="17"/>
    <cellStyle name="Calculation 2" xfId="21"/>
    <cellStyle name="Check Cell 2" xfId="23"/>
    <cellStyle name="Comma" xfId="2" builtinId="3"/>
    <cellStyle name="Comma 2" xfId="3"/>
    <cellStyle name="Comma 3" xfId="4"/>
    <cellStyle name="Comma 4" xfId="9"/>
    <cellStyle name="Explanatory Text 2" xfId="25"/>
    <cellStyle name="Good" xfId="5" builtinId="26" customBuiltin="1"/>
    <cellStyle name="Heading 1 2" xfId="13"/>
    <cellStyle name="Heading 2 2" xfId="14"/>
    <cellStyle name="Heading 3 2" xfId="15"/>
    <cellStyle name="Heading 4 2" xfId="16"/>
    <cellStyle name="Input 2" xfId="19"/>
    <cellStyle name="Linked Cell 2" xfId="22"/>
    <cellStyle name="Neutral 2" xfId="18"/>
    <cellStyle name="Normal" xfId="0" builtinId="0"/>
    <cellStyle name="Normal 2" xfId="6"/>
    <cellStyle name="Normal 2 2" xfId="7"/>
    <cellStyle name="Normal 3" xfId="8"/>
    <cellStyle name="Normal 4" xfId="10"/>
    <cellStyle name="Note" xfId="11" builtinId="10" customBuiltin="1"/>
    <cellStyle name="Output 2" xfId="20"/>
    <cellStyle name="Title 2" xfId="12"/>
    <cellStyle name="Total 2" xfId="26"/>
    <cellStyle name="Warning Text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D40" workbookViewId="0">
      <selection activeCell="F9" sqref="F9"/>
    </sheetView>
  </sheetViews>
  <sheetFormatPr defaultRowHeight="16.5" x14ac:dyDescent="0.3"/>
  <cols>
    <col min="1" max="1" width="13.42578125" style="49" customWidth="1"/>
    <col min="2" max="2" width="29.85546875" style="49" bestFit="1" customWidth="1"/>
    <col min="3" max="3" width="17.42578125" style="49" customWidth="1"/>
    <col min="4" max="4" width="22.28515625" style="49" customWidth="1"/>
    <col min="5" max="5" width="12.5703125" style="49" customWidth="1"/>
    <col min="6" max="6" width="26.85546875" style="49" bestFit="1" customWidth="1"/>
    <col min="7" max="7" width="8.140625" style="49" customWidth="1"/>
    <col min="8" max="8" width="9.140625" style="49"/>
    <col min="9" max="9" width="13" style="49" customWidth="1"/>
    <col min="10" max="16384" width="9.140625" style="49"/>
  </cols>
  <sheetData>
    <row r="1" spans="1:13" ht="23.25" x14ac:dyDescent="0.3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"/>
      <c r="M1" s="1"/>
    </row>
    <row r="2" spans="1:13" ht="52.5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42</v>
      </c>
      <c r="K2" s="5" t="s">
        <v>10</v>
      </c>
      <c r="L2" s="5" t="s">
        <v>11</v>
      </c>
      <c r="M2" s="5" t="s">
        <v>12</v>
      </c>
    </row>
    <row r="3" spans="1:13" x14ac:dyDescent="0.3">
      <c r="A3" s="12" t="s">
        <v>13</v>
      </c>
      <c r="B3" s="12" t="s">
        <v>14</v>
      </c>
      <c r="C3" s="12">
        <v>42157</v>
      </c>
      <c r="D3" s="13"/>
      <c r="E3" s="12">
        <v>42153</v>
      </c>
      <c r="F3" s="13" t="s">
        <v>52</v>
      </c>
      <c r="G3" s="14"/>
      <c r="H3" s="14"/>
      <c r="I3" s="14">
        <v>80.760000000000005</v>
      </c>
      <c r="J3" s="14"/>
      <c r="K3" s="14"/>
      <c r="L3" s="14"/>
      <c r="M3" s="14">
        <f>SUM(G3:L3)</f>
        <v>80.760000000000005</v>
      </c>
    </row>
    <row r="4" spans="1:13" x14ac:dyDescent="0.3">
      <c r="A4" s="12" t="s">
        <v>13</v>
      </c>
      <c r="B4" s="12" t="s">
        <v>14</v>
      </c>
      <c r="C4" s="12">
        <v>42166</v>
      </c>
      <c r="D4" s="13"/>
      <c r="E4" s="12">
        <v>42151</v>
      </c>
      <c r="F4" s="13" t="s">
        <v>53</v>
      </c>
      <c r="G4" s="14"/>
      <c r="H4" s="14"/>
      <c r="I4" s="14"/>
      <c r="J4" s="14">
        <v>12.61</v>
      </c>
      <c r="K4" s="14"/>
      <c r="L4" s="14"/>
      <c r="M4" s="14">
        <f>SUM(G4:L4)</f>
        <v>12.61</v>
      </c>
    </row>
    <row r="5" spans="1:13" x14ac:dyDescent="0.3">
      <c r="A5" s="15" t="s">
        <v>15</v>
      </c>
      <c r="B5" s="16"/>
      <c r="C5" s="17"/>
      <c r="D5" s="18"/>
      <c r="E5" s="19"/>
      <c r="F5" s="16"/>
      <c r="G5" s="33">
        <f t="shared" ref="G5:L5" si="0">SUBTOTAL(9,G3:G4)</f>
        <v>0</v>
      </c>
      <c r="H5" s="33">
        <f t="shared" si="0"/>
        <v>0</v>
      </c>
      <c r="I5" s="33">
        <f t="shared" si="0"/>
        <v>80.760000000000005</v>
      </c>
      <c r="J5" s="33">
        <f t="shared" si="0"/>
        <v>12.61</v>
      </c>
      <c r="K5" s="33">
        <f t="shared" si="0"/>
        <v>0</v>
      </c>
      <c r="L5" s="33">
        <f t="shared" si="0"/>
        <v>0</v>
      </c>
      <c r="M5" s="33">
        <f>SUBTOTAL(9,M3:M4)</f>
        <v>93.37</v>
      </c>
    </row>
    <row r="6" spans="1:13" x14ac:dyDescent="0.3">
      <c r="A6" s="6" t="s">
        <v>54</v>
      </c>
      <c r="B6" s="7" t="s">
        <v>16</v>
      </c>
      <c r="C6" s="8"/>
      <c r="D6" s="9"/>
      <c r="E6" s="10"/>
      <c r="F6" s="7"/>
      <c r="G6" s="11">
        <v>0</v>
      </c>
      <c r="H6" s="11"/>
      <c r="I6" s="11"/>
      <c r="J6" s="11"/>
      <c r="K6" s="11"/>
      <c r="L6" s="11"/>
      <c r="M6" s="11">
        <f t="shared" ref="M6:M8" si="1">SUBTOTAL(9,M5:M5)</f>
        <v>0</v>
      </c>
    </row>
    <row r="7" spans="1:13" x14ac:dyDescent="0.3">
      <c r="A7" s="6" t="s">
        <v>44</v>
      </c>
      <c r="B7" s="7" t="s">
        <v>55</v>
      </c>
      <c r="C7" s="8"/>
      <c r="D7" s="9"/>
      <c r="E7" s="10"/>
      <c r="F7" s="7"/>
      <c r="G7" s="11">
        <v>0</v>
      </c>
      <c r="H7" s="11"/>
      <c r="I7" s="11"/>
      <c r="J7" s="11"/>
      <c r="K7" s="11"/>
      <c r="L7" s="11"/>
      <c r="M7" s="11">
        <f t="shared" si="1"/>
        <v>0</v>
      </c>
    </row>
    <row r="8" spans="1:13" x14ac:dyDescent="0.3">
      <c r="A8" s="6" t="s">
        <v>40</v>
      </c>
      <c r="B8" s="7" t="s">
        <v>46</v>
      </c>
      <c r="C8" s="8"/>
      <c r="D8" s="9"/>
      <c r="E8" s="10"/>
      <c r="F8" s="7"/>
      <c r="G8" s="11">
        <v>0</v>
      </c>
      <c r="H8" s="11"/>
      <c r="I8" s="11"/>
      <c r="J8" s="11"/>
      <c r="K8" s="11"/>
      <c r="L8" s="11"/>
      <c r="M8" s="11">
        <f t="shared" si="1"/>
        <v>0</v>
      </c>
    </row>
    <row r="9" spans="1:13" x14ac:dyDescent="0.3">
      <c r="A9" s="12" t="s">
        <v>18</v>
      </c>
      <c r="B9" s="12" t="s">
        <v>37</v>
      </c>
      <c r="C9" s="12">
        <v>42107</v>
      </c>
      <c r="D9" s="13" t="s">
        <v>56</v>
      </c>
      <c r="E9" s="20">
        <v>42059</v>
      </c>
      <c r="F9" s="13" t="s">
        <v>57</v>
      </c>
      <c r="G9" s="14"/>
      <c r="H9" s="14"/>
      <c r="I9" s="14">
        <v>251.02</v>
      </c>
      <c r="J9" s="14">
        <v>29</v>
      </c>
      <c r="K9" s="14">
        <v>12.23</v>
      </c>
      <c r="L9" s="14"/>
      <c r="M9" s="14">
        <f t="shared" ref="M9:M22" si="2">SUM(G9:L9)</f>
        <v>292.25</v>
      </c>
    </row>
    <row r="10" spans="1:13" x14ac:dyDescent="0.3">
      <c r="A10" s="12" t="s">
        <v>18</v>
      </c>
      <c r="B10" s="12" t="s">
        <v>37</v>
      </c>
      <c r="C10" s="20">
        <v>42107</v>
      </c>
      <c r="D10" s="13" t="s">
        <v>56</v>
      </c>
      <c r="E10" s="20">
        <v>42067</v>
      </c>
      <c r="F10" s="13" t="s">
        <v>57</v>
      </c>
      <c r="G10" s="14"/>
      <c r="H10" s="14"/>
      <c r="I10" s="14">
        <v>337.11</v>
      </c>
      <c r="J10" s="14">
        <v>23</v>
      </c>
      <c r="K10" s="14">
        <v>4.5999999999999996</v>
      </c>
      <c r="L10" s="14">
        <v>4.5999999999999996</v>
      </c>
      <c r="M10" s="14">
        <f t="shared" si="2"/>
        <v>369.31000000000006</v>
      </c>
    </row>
    <row r="11" spans="1:13" x14ac:dyDescent="0.3">
      <c r="A11" s="12" t="s">
        <v>18</v>
      </c>
      <c r="B11" s="12" t="s">
        <v>37</v>
      </c>
      <c r="C11" s="20">
        <v>42107</v>
      </c>
      <c r="D11" s="13" t="s">
        <v>58</v>
      </c>
      <c r="E11" s="20">
        <v>42068</v>
      </c>
      <c r="F11" s="22" t="s">
        <v>59</v>
      </c>
      <c r="G11" s="14"/>
      <c r="H11" s="14"/>
      <c r="I11" s="14"/>
      <c r="J11" s="14">
        <f>5+16.2</f>
        <v>21.2</v>
      </c>
      <c r="K11" s="14"/>
      <c r="L11" s="14"/>
      <c r="M11" s="14">
        <f t="shared" si="2"/>
        <v>21.2</v>
      </c>
    </row>
    <row r="12" spans="1:13" x14ac:dyDescent="0.3">
      <c r="A12" s="12" t="s">
        <v>18</v>
      </c>
      <c r="B12" s="12" t="s">
        <v>37</v>
      </c>
      <c r="C12" s="20">
        <v>42107</v>
      </c>
      <c r="D12" s="21" t="s">
        <v>56</v>
      </c>
      <c r="E12" s="20">
        <v>42088</v>
      </c>
      <c r="F12" s="13" t="s">
        <v>57</v>
      </c>
      <c r="G12" s="14"/>
      <c r="H12" s="14"/>
      <c r="I12" s="14">
        <v>337.11</v>
      </c>
      <c r="J12" s="14">
        <v>17</v>
      </c>
      <c r="K12" s="14">
        <v>12.05</v>
      </c>
      <c r="L12" s="14">
        <v>4.5999999999999996</v>
      </c>
      <c r="M12" s="14">
        <f t="shared" si="2"/>
        <v>370.76000000000005</v>
      </c>
    </row>
    <row r="13" spans="1:13" x14ac:dyDescent="0.3">
      <c r="A13" s="13" t="s">
        <v>18</v>
      </c>
      <c r="B13" s="12" t="s">
        <v>37</v>
      </c>
      <c r="C13" s="20" t="s">
        <v>60</v>
      </c>
      <c r="D13" s="21" t="s">
        <v>61</v>
      </c>
      <c r="E13" s="20" t="s">
        <v>62</v>
      </c>
      <c r="F13" s="13" t="s">
        <v>57</v>
      </c>
      <c r="G13" s="14"/>
      <c r="H13" s="14"/>
      <c r="I13" s="14">
        <v>210.68</v>
      </c>
      <c r="J13" s="14">
        <v>50</v>
      </c>
      <c r="K13" s="14">
        <f>2.8+132.19</f>
        <v>134.99</v>
      </c>
      <c r="L13" s="14">
        <v>2.2999999999999998</v>
      </c>
      <c r="M13" s="14">
        <f t="shared" si="2"/>
        <v>397.97</v>
      </c>
    </row>
    <row r="14" spans="1:13" x14ac:dyDescent="0.3">
      <c r="A14" s="13" t="s">
        <v>18</v>
      </c>
      <c r="B14" s="12" t="s">
        <v>37</v>
      </c>
      <c r="C14" s="20">
        <v>42107</v>
      </c>
      <c r="D14" s="21" t="s">
        <v>63</v>
      </c>
      <c r="E14" s="20">
        <v>42074</v>
      </c>
      <c r="F14" s="13" t="s">
        <v>57</v>
      </c>
      <c r="G14" s="14"/>
      <c r="H14" s="14"/>
      <c r="I14" s="14">
        <v>337.11</v>
      </c>
      <c r="J14" s="14">
        <f>13+45.45</f>
        <v>58.45</v>
      </c>
      <c r="K14" s="14">
        <v>11.33</v>
      </c>
      <c r="L14" s="14">
        <v>4.5999999999999996</v>
      </c>
      <c r="M14" s="14">
        <f t="shared" si="2"/>
        <v>411.49</v>
      </c>
    </row>
    <row r="15" spans="1:13" x14ac:dyDescent="0.3">
      <c r="A15" s="13" t="s">
        <v>18</v>
      </c>
      <c r="B15" s="12" t="s">
        <v>37</v>
      </c>
      <c r="C15" s="20">
        <v>42151</v>
      </c>
      <c r="D15" s="21" t="s">
        <v>56</v>
      </c>
      <c r="E15" s="20">
        <v>42116</v>
      </c>
      <c r="F15" s="13" t="s">
        <v>57</v>
      </c>
      <c r="G15" s="14"/>
      <c r="H15" s="14"/>
      <c r="I15" s="14">
        <v>337.11</v>
      </c>
      <c r="J15" s="14">
        <f>34+27.72</f>
        <v>61.72</v>
      </c>
      <c r="K15" s="14">
        <v>11.9</v>
      </c>
      <c r="L15" s="14"/>
      <c r="M15" s="14">
        <f t="shared" si="2"/>
        <v>410.73</v>
      </c>
    </row>
    <row r="16" spans="1:13" x14ac:dyDescent="0.3">
      <c r="A16" s="13" t="s">
        <v>18</v>
      </c>
      <c r="B16" s="12" t="s">
        <v>37</v>
      </c>
      <c r="C16" s="20">
        <v>42151</v>
      </c>
      <c r="D16" s="21" t="s">
        <v>64</v>
      </c>
      <c r="E16" s="20">
        <v>42122</v>
      </c>
      <c r="F16" s="13" t="s">
        <v>57</v>
      </c>
      <c r="G16" s="14"/>
      <c r="H16" s="14"/>
      <c r="I16" s="14">
        <v>337.11</v>
      </c>
      <c r="J16" s="14">
        <v>54</v>
      </c>
      <c r="K16" s="14">
        <v>11.24</v>
      </c>
      <c r="L16" s="14"/>
      <c r="M16" s="14">
        <f t="shared" si="2"/>
        <v>402.35</v>
      </c>
    </row>
    <row r="17" spans="1:13" x14ac:dyDescent="0.3">
      <c r="A17" s="13" t="s">
        <v>18</v>
      </c>
      <c r="B17" s="12" t="s">
        <v>37</v>
      </c>
      <c r="C17" s="20">
        <v>42151</v>
      </c>
      <c r="D17" s="21" t="s">
        <v>63</v>
      </c>
      <c r="E17" s="20">
        <v>42137</v>
      </c>
      <c r="F17" s="13" t="s">
        <v>57</v>
      </c>
      <c r="G17" s="14"/>
      <c r="H17" s="14"/>
      <c r="I17" s="14">
        <v>336.45</v>
      </c>
      <c r="J17" s="14">
        <v>34</v>
      </c>
      <c r="K17" s="14">
        <v>10.45</v>
      </c>
      <c r="L17" s="14"/>
      <c r="M17" s="14">
        <f t="shared" si="2"/>
        <v>380.9</v>
      </c>
    </row>
    <row r="18" spans="1:13" x14ac:dyDescent="0.3">
      <c r="A18" s="13" t="s">
        <v>18</v>
      </c>
      <c r="B18" s="12" t="s">
        <v>37</v>
      </c>
      <c r="C18" s="20">
        <v>42151</v>
      </c>
      <c r="D18" s="21" t="s">
        <v>56</v>
      </c>
      <c r="E18" s="20">
        <v>42131</v>
      </c>
      <c r="F18" s="13" t="s">
        <v>57</v>
      </c>
      <c r="G18" s="14"/>
      <c r="H18" s="14"/>
      <c r="I18" s="14">
        <v>337.11</v>
      </c>
      <c r="J18" s="14">
        <v>45</v>
      </c>
      <c r="K18" s="14">
        <v>11.9</v>
      </c>
      <c r="L18" s="14"/>
      <c r="M18" s="14">
        <f t="shared" si="2"/>
        <v>394.01</v>
      </c>
    </row>
    <row r="19" spans="1:13" x14ac:dyDescent="0.3">
      <c r="A19" s="13" t="s">
        <v>18</v>
      </c>
      <c r="B19" s="12" t="s">
        <v>37</v>
      </c>
      <c r="C19" s="20">
        <v>42170</v>
      </c>
      <c r="D19" s="21" t="s">
        <v>65</v>
      </c>
      <c r="E19" s="20">
        <v>42153</v>
      </c>
      <c r="F19" s="22" t="s">
        <v>59</v>
      </c>
      <c r="G19" s="14"/>
      <c r="H19" s="14"/>
      <c r="I19" s="14"/>
      <c r="J19" s="14">
        <v>74</v>
      </c>
      <c r="K19" s="14"/>
      <c r="L19" s="14"/>
      <c r="M19" s="14">
        <f t="shared" si="2"/>
        <v>74</v>
      </c>
    </row>
    <row r="20" spans="1:13" x14ac:dyDescent="0.3">
      <c r="A20" s="13" t="s">
        <v>18</v>
      </c>
      <c r="B20" s="12" t="s">
        <v>37</v>
      </c>
      <c r="C20" s="20">
        <v>42170</v>
      </c>
      <c r="D20" s="21" t="s">
        <v>56</v>
      </c>
      <c r="E20" s="20">
        <v>42144</v>
      </c>
      <c r="F20" s="13" t="s">
        <v>57</v>
      </c>
      <c r="G20" s="14"/>
      <c r="H20" s="14"/>
      <c r="I20" s="14">
        <v>337.11</v>
      </c>
      <c r="J20" s="14">
        <v>33</v>
      </c>
      <c r="K20" s="14">
        <v>10.43</v>
      </c>
      <c r="L20" s="14">
        <v>2.2999999999999998</v>
      </c>
      <c r="M20" s="14">
        <f t="shared" si="2"/>
        <v>382.84000000000003</v>
      </c>
    </row>
    <row r="21" spans="1:13" x14ac:dyDescent="0.3">
      <c r="A21" s="13" t="s">
        <v>18</v>
      </c>
      <c r="B21" s="12" t="s">
        <v>37</v>
      </c>
      <c r="C21" s="20" t="s">
        <v>66</v>
      </c>
      <c r="D21" s="21" t="s">
        <v>67</v>
      </c>
      <c r="E21" s="20">
        <v>42151</v>
      </c>
      <c r="F21" s="13" t="s">
        <v>57</v>
      </c>
      <c r="G21" s="14"/>
      <c r="H21" s="14"/>
      <c r="I21" s="14">
        <v>336.45</v>
      </c>
      <c r="J21" s="14">
        <f>35+12.61</f>
        <v>47.61</v>
      </c>
      <c r="K21" s="14">
        <v>11.4</v>
      </c>
      <c r="L21" s="14">
        <v>4.5999999999999996</v>
      </c>
      <c r="M21" s="14">
        <f t="shared" si="2"/>
        <v>400.06</v>
      </c>
    </row>
    <row r="22" spans="1:13" x14ac:dyDescent="0.3">
      <c r="A22" s="13" t="s">
        <v>18</v>
      </c>
      <c r="B22" s="12" t="s">
        <v>37</v>
      </c>
      <c r="C22" s="20">
        <v>42170</v>
      </c>
      <c r="D22" s="21" t="s">
        <v>56</v>
      </c>
      <c r="E22" s="20">
        <v>42095</v>
      </c>
      <c r="F22" s="13" t="s">
        <v>57</v>
      </c>
      <c r="G22" s="14"/>
      <c r="H22" s="14"/>
      <c r="I22" s="14">
        <v>337.11</v>
      </c>
      <c r="J22" s="14">
        <v>21</v>
      </c>
      <c r="K22" s="14">
        <v>11.34</v>
      </c>
      <c r="L22" s="14"/>
      <c r="M22" s="14">
        <f t="shared" si="2"/>
        <v>369.45</v>
      </c>
    </row>
    <row r="23" spans="1:13" x14ac:dyDescent="0.3">
      <c r="A23" s="15" t="s">
        <v>20</v>
      </c>
      <c r="B23" s="16"/>
      <c r="C23" s="17"/>
      <c r="D23" s="18"/>
      <c r="E23" s="19"/>
      <c r="F23" s="16"/>
      <c r="G23" s="33">
        <f t="shared" ref="G23:L23" si="3">SUBTOTAL(9,G9:G22)</f>
        <v>0</v>
      </c>
      <c r="H23" s="33">
        <f>SUBTOTAL(9,H9:H22)</f>
        <v>0</v>
      </c>
      <c r="I23" s="33">
        <f t="shared" si="3"/>
        <v>3831.4800000000005</v>
      </c>
      <c r="J23" s="33">
        <f t="shared" si="3"/>
        <v>568.98</v>
      </c>
      <c r="K23" s="33">
        <f t="shared" si="3"/>
        <v>253.86000000000004</v>
      </c>
      <c r="L23" s="33">
        <f t="shared" si="3"/>
        <v>23</v>
      </c>
      <c r="M23" s="33">
        <f>SUBTOTAL(9,M9:M22)</f>
        <v>4677.3200000000006</v>
      </c>
    </row>
    <row r="24" spans="1:13" ht="15.75" customHeight="1" x14ac:dyDescent="0.3">
      <c r="A24" s="12" t="s">
        <v>27</v>
      </c>
      <c r="B24" s="13" t="s">
        <v>22</v>
      </c>
      <c r="C24" s="20" t="s">
        <v>68</v>
      </c>
      <c r="D24" s="21" t="s">
        <v>69</v>
      </c>
      <c r="E24" s="20">
        <v>42089</v>
      </c>
      <c r="F24" s="13" t="s">
        <v>70</v>
      </c>
      <c r="G24" s="14"/>
      <c r="H24" s="14"/>
      <c r="I24" s="14">
        <v>15</v>
      </c>
      <c r="J24" s="14">
        <v>23</v>
      </c>
      <c r="K24" s="14">
        <f>134.2+9.75</f>
        <v>143.94999999999999</v>
      </c>
      <c r="L24" s="14"/>
      <c r="M24" s="14">
        <f>SUM(G24:L24)</f>
        <v>181.95</v>
      </c>
    </row>
    <row r="25" spans="1:13" ht="15.75" customHeight="1" x14ac:dyDescent="0.3">
      <c r="A25" s="12" t="s">
        <v>27</v>
      </c>
      <c r="B25" s="13" t="s">
        <v>22</v>
      </c>
      <c r="C25" s="20" t="s">
        <v>71</v>
      </c>
      <c r="D25" s="21" t="s">
        <v>69</v>
      </c>
      <c r="E25" s="20">
        <v>42152</v>
      </c>
      <c r="F25" s="13" t="s">
        <v>70</v>
      </c>
      <c r="G25" s="14">
        <v>148.36000000000001</v>
      </c>
      <c r="H25" s="14"/>
      <c r="I25" s="14">
        <v>4.8</v>
      </c>
      <c r="J25" s="14">
        <v>13</v>
      </c>
      <c r="K25" s="14">
        <f>25.88+167.39</f>
        <v>193.26999999999998</v>
      </c>
      <c r="L25" s="14"/>
      <c r="M25" s="14">
        <f>SUM(G25:L25)</f>
        <v>359.43</v>
      </c>
    </row>
    <row r="26" spans="1:13" x14ac:dyDescent="0.3">
      <c r="A26" s="12" t="s">
        <v>27</v>
      </c>
      <c r="B26" s="13" t="s">
        <v>22</v>
      </c>
      <c r="C26" s="20">
        <v>42108</v>
      </c>
      <c r="D26" s="21" t="s">
        <v>63</v>
      </c>
      <c r="E26" s="20">
        <v>42073</v>
      </c>
      <c r="F26" s="13" t="s">
        <v>38</v>
      </c>
      <c r="G26" s="14"/>
      <c r="H26" s="14"/>
      <c r="I26" s="14"/>
      <c r="J26" s="14"/>
      <c r="K26" s="14">
        <v>132.19</v>
      </c>
      <c r="L26" s="14"/>
      <c r="M26" s="14">
        <f t="shared" ref="M26:M28" si="4">SUM(G26:L26)</f>
        <v>132.19</v>
      </c>
    </row>
    <row r="27" spans="1:13" x14ac:dyDescent="0.3">
      <c r="A27" s="12" t="s">
        <v>27</v>
      </c>
      <c r="B27" s="13" t="s">
        <v>22</v>
      </c>
      <c r="C27" s="20" t="s">
        <v>72</v>
      </c>
      <c r="D27" s="21" t="s">
        <v>69</v>
      </c>
      <c r="E27" s="20" t="s">
        <v>73</v>
      </c>
      <c r="F27" s="13" t="s">
        <v>74</v>
      </c>
      <c r="G27" s="14">
        <f>62.08+73+0.45</f>
        <v>135.52999999999997</v>
      </c>
      <c r="H27" s="14"/>
      <c r="I27" s="14">
        <v>9.6</v>
      </c>
      <c r="J27" s="14">
        <v>24</v>
      </c>
      <c r="K27" s="14">
        <f>134.2+29</f>
        <v>163.19999999999999</v>
      </c>
      <c r="L27" s="14"/>
      <c r="M27" s="14">
        <f t="shared" si="4"/>
        <v>332.32999999999993</v>
      </c>
    </row>
    <row r="28" spans="1:13" x14ac:dyDescent="0.3">
      <c r="A28" s="12" t="s">
        <v>27</v>
      </c>
      <c r="B28" s="13" t="s">
        <v>22</v>
      </c>
      <c r="C28" s="20" t="s">
        <v>75</v>
      </c>
      <c r="D28" s="21" t="s">
        <v>63</v>
      </c>
      <c r="E28" s="20" t="s">
        <v>76</v>
      </c>
      <c r="F28" s="13" t="s">
        <v>74</v>
      </c>
      <c r="G28" s="14">
        <f>179.51</f>
        <v>179.51</v>
      </c>
      <c r="H28" s="14"/>
      <c r="I28" s="14">
        <v>44.6</v>
      </c>
      <c r="J28" s="14">
        <v>13</v>
      </c>
      <c r="K28" s="14">
        <f>164.56+29.85</f>
        <v>194.41</v>
      </c>
      <c r="L28" s="14"/>
      <c r="M28" s="14">
        <f t="shared" si="4"/>
        <v>431.52</v>
      </c>
    </row>
    <row r="29" spans="1:13" x14ac:dyDescent="0.3">
      <c r="A29" s="15" t="s">
        <v>28</v>
      </c>
      <c r="B29" s="16"/>
      <c r="C29" s="19"/>
      <c r="D29" s="18"/>
      <c r="E29" s="19"/>
      <c r="F29" s="16"/>
      <c r="G29" s="33">
        <f t="shared" ref="G29:L29" si="5">SUBTOTAL(9,G24:G28)</f>
        <v>463.4</v>
      </c>
      <c r="H29" s="33">
        <f t="shared" si="5"/>
        <v>0</v>
      </c>
      <c r="I29" s="33">
        <f t="shared" si="5"/>
        <v>74</v>
      </c>
      <c r="J29" s="33">
        <f t="shared" si="5"/>
        <v>73</v>
      </c>
      <c r="K29" s="33">
        <f t="shared" si="5"/>
        <v>827.01999999999987</v>
      </c>
      <c r="L29" s="33">
        <f t="shared" si="5"/>
        <v>0</v>
      </c>
      <c r="M29" s="33">
        <f>SUBTOTAL(9,M24:M28)</f>
        <v>1437.4199999999998</v>
      </c>
    </row>
    <row r="30" spans="1:13" x14ac:dyDescent="0.3">
      <c r="A30" s="6" t="s">
        <v>48</v>
      </c>
      <c r="B30" s="7"/>
      <c r="C30" s="8"/>
      <c r="D30" s="9"/>
      <c r="E30" s="10"/>
      <c r="F30" s="7"/>
      <c r="G30" s="11"/>
      <c r="H30" s="11"/>
      <c r="I30" s="11"/>
      <c r="J30" s="11"/>
      <c r="K30" s="11"/>
      <c r="L30" s="11"/>
      <c r="M30" s="11"/>
    </row>
    <row r="31" spans="1:13" x14ac:dyDescent="0.3">
      <c r="A31" s="13" t="s">
        <v>77</v>
      </c>
      <c r="B31" s="12" t="s">
        <v>22</v>
      </c>
      <c r="C31" s="20">
        <v>42151</v>
      </c>
      <c r="D31" s="21" t="s">
        <v>78</v>
      </c>
      <c r="E31" s="12" t="s">
        <v>79</v>
      </c>
      <c r="F31" s="22" t="s">
        <v>80</v>
      </c>
      <c r="G31" s="14"/>
      <c r="H31" s="14"/>
      <c r="I31" s="14">
        <v>60</v>
      </c>
      <c r="J31" s="14">
        <f>12.4+21.6</f>
        <v>34</v>
      </c>
      <c r="K31" s="14"/>
      <c r="L31" s="14">
        <v>4.5999999999999996</v>
      </c>
      <c r="M31" s="14">
        <f>SUM(G31:L31)</f>
        <v>98.6</v>
      </c>
    </row>
    <row r="32" spans="1:13" x14ac:dyDescent="0.3">
      <c r="A32" s="13" t="s">
        <v>77</v>
      </c>
      <c r="B32" s="12" t="s">
        <v>22</v>
      </c>
      <c r="C32" s="20">
        <v>42144</v>
      </c>
      <c r="D32" s="21" t="s">
        <v>69</v>
      </c>
      <c r="E32" s="12">
        <v>42124</v>
      </c>
      <c r="F32" s="22" t="s">
        <v>80</v>
      </c>
      <c r="G32" s="14"/>
      <c r="H32" s="14"/>
      <c r="I32" s="14">
        <v>66.7</v>
      </c>
      <c r="J32" s="14"/>
      <c r="K32" s="14"/>
      <c r="L32" s="14"/>
      <c r="M32" s="14">
        <f>SUM(G32:L32)</f>
        <v>66.7</v>
      </c>
    </row>
    <row r="33" spans="1:13" x14ac:dyDescent="0.3">
      <c r="A33" s="13" t="s">
        <v>77</v>
      </c>
      <c r="B33" s="12" t="s">
        <v>22</v>
      </c>
      <c r="C33" s="20">
        <v>42157</v>
      </c>
      <c r="D33" s="21" t="s">
        <v>63</v>
      </c>
      <c r="E33" s="12">
        <v>42137</v>
      </c>
      <c r="F33" s="22" t="s">
        <v>80</v>
      </c>
      <c r="G33" s="14"/>
      <c r="H33" s="14"/>
      <c r="I33" s="14">
        <v>66.7</v>
      </c>
      <c r="J33" s="14"/>
      <c r="K33" s="14"/>
      <c r="L33" s="14"/>
      <c r="M33" s="14">
        <f>SUM(G33:L33)</f>
        <v>66.7</v>
      </c>
    </row>
    <row r="34" spans="1:13" x14ac:dyDescent="0.3">
      <c r="A34" s="15" t="s">
        <v>81</v>
      </c>
      <c r="B34" s="16"/>
      <c r="C34" s="19"/>
      <c r="D34" s="18"/>
      <c r="E34" s="19"/>
      <c r="F34" s="16"/>
      <c r="G34" s="33">
        <f t="shared" ref="G34:L34" si="6">SUBTOTAL(9,G31:G33)</f>
        <v>0</v>
      </c>
      <c r="H34" s="33">
        <f t="shared" si="6"/>
        <v>0</v>
      </c>
      <c r="I34" s="33">
        <f t="shared" si="6"/>
        <v>193.4</v>
      </c>
      <c r="J34" s="33">
        <f t="shared" si="6"/>
        <v>34</v>
      </c>
      <c r="K34" s="33">
        <f t="shared" si="6"/>
        <v>0</v>
      </c>
      <c r="L34" s="33">
        <f t="shared" si="6"/>
        <v>4.5999999999999996</v>
      </c>
      <c r="M34" s="33">
        <f>SUBTOTAL(9,M31:M33)</f>
        <v>232</v>
      </c>
    </row>
    <row r="35" spans="1:13" x14ac:dyDescent="0.3">
      <c r="A35" s="13" t="s">
        <v>21</v>
      </c>
      <c r="B35" s="12" t="s">
        <v>22</v>
      </c>
      <c r="C35" s="20" t="s">
        <v>60</v>
      </c>
      <c r="D35" s="21" t="s">
        <v>82</v>
      </c>
      <c r="E35" s="12" t="s">
        <v>83</v>
      </c>
      <c r="F35" s="22" t="s">
        <v>84</v>
      </c>
      <c r="G35" s="14"/>
      <c r="H35" s="14"/>
      <c r="I35" s="14">
        <v>9.6999999999999993</v>
      </c>
      <c r="J35" s="14">
        <f>22+90.45</f>
        <v>112.45</v>
      </c>
      <c r="K35" s="14">
        <f>12+110.4+14.62+18.9+148.29</f>
        <v>304.21000000000004</v>
      </c>
      <c r="L35" s="14">
        <f>27.5+27.5</f>
        <v>55</v>
      </c>
      <c r="M35" s="14">
        <f>SUM(G35:L35)</f>
        <v>481.36</v>
      </c>
    </row>
    <row r="36" spans="1:13" x14ac:dyDescent="0.3">
      <c r="A36" s="13" t="s">
        <v>21</v>
      </c>
      <c r="B36" s="12" t="s">
        <v>22</v>
      </c>
      <c r="C36" s="20">
        <v>42107</v>
      </c>
      <c r="D36" s="21" t="s">
        <v>85</v>
      </c>
      <c r="E36" s="12">
        <v>42060</v>
      </c>
      <c r="F36" s="22" t="s">
        <v>38</v>
      </c>
      <c r="G36" s="14"/>
      <c r="H36" s="14"/>
      <c r="I36" s="14"/>
      <c r="J36" s="14"/>
      <c r="K36" s="14"/>
      <c r="L36" s="14">
        <v>27.5</v>
      </c>
      <c r="M36" s="14">
        <f t="shared" ref="M36:M40" si="7">SUM(G36:L36)</f>
        <v>27.5</v>
      </c>
    </row>
    <row r="37" spans="1:13" x14ac:dyDescent="0.3">
      <c r="A37" s="13" t="s">
        <v>21</v>
      </c>
      <c r="B37" s="12" t="s">
        <v>22</v>
      </c>
      <c r="C37" s="20">
        <v>42107</v>
      </c>
      <c r="D37" s="21" t="s">
        <v>69</v>
      </c>
      <c r="E37" s="12">
        <v>42033</v>
      </c>
      <c r="F37" s="22" t="s">
        <v>86</v>
      </c>
      <c r="G37" s="14"/>
      <c r="H37" s="14"/>
      <c r="I37" s="14"/>
      <c r="J37" s="14">
        <f>5+6.3</f>
        <v>11.3</v>
      </c>
      <c r="K37" s="14">
        <v>4.7300000000000004</v>
      </c>
      <c r="L37" s="14">
        <v>27.5</v>
      </c>
      <c r="M37" s="14">
        <f t="shared" si="7"/>
        <v>43.53</v>
      </c>
    </row>
    <row r="38" spans="1:13" x14ac:dyDescent="0.3">
      <c r="A38" s="13" t="s">
        <v>21</v>
      </c>
      <c r="B38" s="12" t="s">
        <v>22</v>
      </c>
      <c r="C38" s="20" t="s">
        <v>60</v>
      </c>
      <c r="D38" s="21" t="s">
        <v>63</v>
      </c>
      <c r="E38" s="12">
        <v>42074</v>
      </c>
      <c r="F38" s="22" t="s">
        <v>84</v>
      </c>
      <c r="G38" s="14"/>
      <c r="H38" s="14"/>
      <c r="I38" s="14">
        <v>5.0999999999999996</v>
      </c>
      <c r="J38" s="14">
        <f>23+90.45</f>
        <v>113.45</v>
      </c>
      <c r="K38" s="14">
        <f>111.2+12.2+12+1.41</f>
        <v>136.81</v>
      </c>
      <c r="L38" s="14">
        <v>27.5</v>
      </c>
      <c r="M38" s="14">
        <f t="shared" si="7"/>
        <v>282.86</v>
      </c>
    </row>
    <row r="39" spans="1:13" x14ac:dyDescent="0.3">
      <c r="A39" s="13" t="s">
        <v>21</v>
      </c>
      <c r="B39" s="12" t="s">
        <v>22</v>
      </c>
      <c r="C39" s="20">
        <v>42107</v>
      </c>
      <c r="D39" s="21" t="s">
        <v>87</v>
      </c>
      <c r="E39" s="12">
        <v>42038</v>
      </c>
      <c r="F39" s="22" t="s">
        <v>84</v>
      </c>
      <c r="G39" s="14"/>
      <c r="H39" s="14"/>
      <c r="I39" s="14">
        <f>21.5+4.6</f>
        <v>26.1</v>
      </c>
      <c r="J39" s="14">
        <f>27+90.45</f>
        <v>117.45</v>
      </c>
      <c r="K39" s="14">
        <f>70+15.94</f>
        <v>85.94</v>
      </c>
      <c r="L39" s="14"/>
      <c r="M39" s="14">
        <f t="shared" si="7"/>
        <v>229.49</v>
      </c>
    </row>
    <row r="40" spans="1:13" x14ac:dyDescent="0.3">
      <c r="A40" s="13" t="s">
        <v>21</v>
      </c>
      <c r="B40" s="12" t="s">
        <v>22</v>
      </c>
      <c r="C40" s="20" t="s">
        <v>88</v>
      </c>
      <c r="D40" s="21" t="s">
        <v>63</v>
      </c>
      <c r="E40" s="12" t="s">
        <v>89</v>
      </c>
      <c r="F40" s="22" t="s">
        <v>84</v>
      </c>
      <c r="G40" s="14">
        <f>191.35+142.7</f>
        <v>334.04999999999995</v>
      </c>
      <c r="H40" s="14"/>
      <c r="I40" s="14"/>
      <c r="J40" s="14"/>
      <c r="K40" s="14">
        <v>1.41</v>
      </c>
      <c r="L40" s="14"/>
      <c r="M40" s="14">
        <f t="shared" si="7"/>
        <v>335.46</v>
      </c>
    </row>
    <row r="41" spans="1:13" x14ac:dyDescent="0.3">
      <c r="A41" s="15" t="s">
        <v>39</v>
      </c>
      <c r="B41" s="16"/>
      <c r="C41" s="19"/>
      <c r="D41" s="18"/>
      <c r="E41" s="19"/>
      <c r="F41" s="16"/>
      <c r="G41" s="33">
        <f t="shared" ref="G41:L41" si="8">SUBTOTAL(9,G35:G40)</f>
        <v>334.04999999999995</v>
      </c>
      <c r="H41" s="33">
        <f t="shared" si="8"/>
        <v>0</v>
      </c>
      <c r="I41" s="33">
        <f t="shared" si="8"/>
        <v>40.9</v>
      </c>
      <c r="J41" s="33">
        <f t="shared" si="8"/>
        <v>354.65</v>
      </c>
      <c r="K41" s="33">
        <f t="shared" si="8"/>
        <v>533.1</v>
      </c>
      <c r="L41" s="33">
        <f t="shared" si="8"/>
        <v>137.5</v>
      </c>
      <c r="M41" s="33">
        <f>SUBTOTAL(9,M35:M40)</f>
        <v>1400.2</v>
      </c>
    </row>
    <row r="42" spans="1:13" x14ac:dyDescent="0.3">
      <c r="A42" s="12" t="s">
        <v>90</v>
      </c>
      <c r="B42" s="12" t="s">
        <v>22</v>
      </c>
      <c r="C42" s="20">
        <v>42144</v>
      </c>
      <c r="D42" s="21" t="s">
        <v>69</v>
      </c>
      <c r="E42" s="12">
        <v>42124</v>
      </c>
      <c r="F42" s="22" t="s">
        <v>91</v>
      </c>
      <c r="G42" s="14"/>
      <c r="H42" s="14"/>
      <c r="I42" s="14">
        <v>52.07</v>
      </c>
      <c r="J42" s="14"/>
      <c r="K42" s="14"/>
      <c r="L42" s="14"/>
      <c r="M42" s="14">
        <f t="shared" ref="M42:M45" si="9">SUM(G42:L42)</f>
        <v>52.07</v>
      </c>
    </row>
    <row r="43" spans="1:13" x14ac:dyDescent="0.3">
      <c r="A43" s="13" t="s">
        <v>90</v>
      </c>
      <c r="B43" s="12" t="s">
        <v>22</v>
      </c>
      <c r="C43" s="20">
        <v>42144</v>
      </c>
      <c r="D43" s="21" t="s">
        <v>56</v>
      </c>
      <c r="E43" s="12">
        <v>42116</v>
      </c>
      <c r="F43" s="22" t="s">
        <v>91</v>
      </c>
      <c r="G43" s="14"/>
      <c r="H43" s="14"/>
      <c r="I43" s="14">
        <f>26.01+26.01</f>
        <v>52.02</v>
      </c>
      <c r="J43" s="14"/>
      <c r="K43" s="14"/>
      <c r="L43" s="14"/>
      <c r="M43" s="14">
        <f t="shared" si="9"/>
        <v>52.02</v>
      </c>
    </row>
    <row r="44" spans="1:13" x14ac:dyDescent="0.3">
      <c r="A44" s="13" t="s">
        <v>90</v>
      </c>
      <c r="B44" s="12" t="s">
        <v>22</v>
      </c>
      <c r="C44" s="20">
        <v>42144</v>
      </c>
      <c r="D44" s="21" t="s">
        <v>92</v>
      </c>
      <c r="E44" s="12">
        <v>42101</v>
      </c>
      <c r="F44" s="22" t="s">
        <v>91</v>
      </c>
      <c r="G44" s="14"/>
      <c r="H44" s="14"/>
      <c r="I44" s="14">
        <v>52.65</v>
      </c>
      <c r="J44" s="14"/>
      <c r="K44" s="14"/>
      <c r="L44" s="14"/>
      <c r="M44" s="14">
        <f t="shared" si="9"/>
        <v>52.65</v>
      </c>
    </row>
    <row r="45" spans="1:13" x14ac:dyDescent="0.3">
      <c r="A45" s="13" t="s">
        <v>90</v>
      </c>
      <c r="B45" s="12" t="s">
        <v>22</v>
      </c>
      <c r="C45" s="20">
        <v>42144</v>
      </c>
      <c r="D45" s="21" t="s">
        <v>63</v>
      </c>
      <c r="E45" s="12">
        <v>42137</v>
      </c>
      <c r="F45" s="22" t="s">
        <v>91</v>
      </c>
      <c r="G45" s="14"/>
      <c r="H45" s="14"/>
      <c r="I45" s="14">
        <v>52.65</v>
      </c>
      <c r="J45" s="14"/>
      <c r="K45" s="14"/>
      <c r="L45" s="14"/>
      <c r="M45" s="14">
        <f t="shared" si="9"/>
        <v>52.65</v>
      </c>
    </row>
    <row r="46" spans="1:13" x14ac:dyDescent="0.3">
      <c r="A46" s="15" t="s">
        <v>93</v>
      </c>
      <c r="B46" s="16"/>
      <c r="C46" s="19"/>
      <c r="D46" s="18"/>
      <c r="E46" s="19"/>
      <c r="F46" s="16"/>
      <c r="G46" s="33">
        <f t="shared" ref="G46:M46" si="10">SUBTOTAL(9,G42:G45)</f>
        <v>0</v>
      </c>
      <c r="H46" s="33">
        <f t="shared" si="10"/>
        <v>0</v>
      </c>
      <c r="I46" s="33">
        <f t="shared" si="10"/>
        <v>209.39000000000001</v>
      </c>
      <c r="J46" s="33">
        <f t="shared" si="10"/>
        <v>0</v>
      </c>
      <c r="K46" s="33">
        <f t="shared" si="10"/>
        <v>0</v>
      </c>
      <c r="L46" s="33">
        <f t="shared" si="10"/>
        <v>0</v>
      </c>
      <c r="M46" s="33">
        <f t="shared" si="10"/>
        <v>209.39000000000001</v>
      </c>
    </row>
    <row r="47" spans="1:13" x14ac:dyDescent="0.3">
      <c r="A47" s="13" t="s">
        <v>19</v>
      </c>
      <c r="B47" s="13" t="s">
        <v>22</v>
      </c>
      <c r="C47" s="32">
        <v>42107</v>
      </c>
      <c r="D47" s="21" t="s">
        <v>94</v>
      </c>
      <c r="E47" s="20">
        <v>42095</v>
      </c>
      <c r="F47" s="22" t="s">
        <v>80</v>
      </c>
      <c r="G47" s="14"/>
      <c r="H47" s="14"/>
      <c r="I47" s="14">
        <v>66.599999999999994</v>
      </c>
      <c r="J47" s="14">
        <v>5.7</v>
      </c>
      <c r="K47" s="14"/>
      <c r="L47" s="14"/>
      <c r="M47" s="14">
        <f>SUM(G47:L47)</f>
        <v>72.3</v>
      </c>
    </row>
    <row r="48" spans="1:13" x14ac:dyDescent="0.3">
      <c r="A48" s="13" t="s">
        <v>19</v>
      </c>
      <c r="B48" s="13" t="s">
        <v>22</v>
      </c>
      <c r="C48" s="32">
        <v>42109</v>
      </c>
      <c r="D48" s="21" t="s">
        <v>92</v>
      </c>
      <c r="E48" s="20">
        <v>42103</v>
      </c>
      <c r="F48" s="22" t="s">
        <v>80</v>
      </c>
      <c r="G48" s="14"/>
      <c r="H48" s="14"/>
      <c r="I48" s="14">
        <v>59.7</v>
      </c>
      <c r="J48" s="14">
        <v>5.7</v>
      </c>
      <c r="K48" s="14"/>
      <c r="L48" s="14"/>
      <c r="M48" s="14">
        <f t="shared" ref="M48:M51" si="11">SUM(G48:L48)</f>
        <v>65.400000000000006</v>
      </c>
    </row>
    <row r="49" spans="1:13" x14ac:dyDescent="0.3">
      <c r="A49" s="13" t="s">
        <v>19</v>
      </c>
      <c r="B49" s="13" t="s">
        <v>22</v>
      </c>
      <c r="C49" s="32">
        <v>42142</v>
      </c>
      <c r="D49" s="32" t="s">
        <v>95</v>
      </c>
      <c r="E49" s="20">
        <v>42131</v>
      </c>
      <c r="F49" s="22" t="s">
        <v>80</v>
      </c>
      <c r="G49" s="14"/>
      <c r="H49" s="14"/>
      <c r="I49" s="14">
        <v>66.599999999999994</v>
      </c>
      <c r="J49" s="14">
        <v>5.7</v>
      </c>
      <c r="K49" s="14"/>
      <c r="L49" s="14"/>
      <c r="M49" s="14">
        <f t="shared" si="11"/>
        <v>72.3</v>
      </c>
    </row>
    <row r="50" spans="1:13" x14ac:dyDescent="0.3">
      <c r="A50" s="13" t="s">
        <v>19</v>
      </c>
      <c r="B50" s="13" t="s">
        <v>22</v>
      </c>
      <c r="C50" s="32">
        <v>42151</v>
      </c>
      <c r="D50" s="21" t="s">
        <v>63</v>
      </c>
      <c r="E50" s="20">
        <v>42137</v>
      </c>
      <c r="F50" s="22" t="s">
        <v>80</v>
      </c>
      <c r="G50" s="14"/>
      <c r="H50" s="14"/>
      <c r="I50" s="14">
        <v>66</v>
      </c>
      <c r="J50" s="14">
        <v>5.7</v>
      </c>
      <c r="K50" s="14"/>
      <c r="L50" s="14"/>
      <c r="M50" s="14">
        <f t="shared" si="11"/>
        <v>71.7</v>
      </c>
    </row>
    <row r="51" spans="1:13" x14ac:dyDescent="0.3">
      <c r="A51" s="13" t="s">
        <v>19</v>
      </c>
      <c r="B51" s="13" t="s">
        <v>22</v>
      </c>
      <c r="C51" s="32">
        <v>42108</v>
      </c>
      <c r="D51" s="21" t="s">
        <v>63</v>
      </c>
      <c r="E51" s="20">
        <v>42074</v>
      </c>
      <c r="F51" s="13" t="s">
        <v>38</v>
      </c>
      <c r="G51" s="14"/>
      <c r="H51" s="14"/>
      <c r="I51" s="14"/>
      <c r="J51" s="14"/>
      <c r="K51" s="14">
        <v>132.19</v>
      </c>
      <c r="L51" s="14"/>
      <c r="M51" s="14">
        <f t="shared" si="11"/>
        <v>132.19</v>
      </c>
    </row>
    <row r="52" spans="1:13" x14ac:dyDescent="0.3">
      <c r="A52" s="15" t="s">
        <v>23</v>
      </c>
      <c r="B52" s="16"/>
      <c r="C52" s="17"/>
      <c r="D52" s="18"/>
      <c r="E52" s="19"/>
      <c r="F52" s="16"/>
      <c r="G52" s="33">
        <f t="shared" ref="G52:L52" si="12">SUBTOTAL(9,G47:G51)</f>
        <v>0</v>
      </c>
      <c r="H52" s="33">
        <f t="shared" si="12"/>
        <v>0</v>
      </c>
      <c r="I52" s="33">
        <f t="shared" si="12"/>
        <v>258.89999999999998</v>
      </c>
      <c r="J52" s="33">
        <f t="shared" si="12"/>
        <v>22.8</v>
      </c>
      <c r="K52" s="33">
        <f t="shared" si="12"/>
        <v>132.19</v>
      </c>
      <c r="L52" s="33">
        <f t="shared" si="12"/>
        <v>0</v>
      </c>
      <c r="M52" s="33">
        <f>SUBTOTAL(9,M47:M51)</f>
        <v>413.89</v>
      </c>
    </row>
    <row r="53" spans="1:13" x14ac:dyDescent="0.3">
      <c r="A53" s="6" t="s">
        <v>96</v>
      </c>
      <c r="B53" s="7"/>
      <c r="C53" s="8"/>
      <c r="D53" s="9"/>
      <c r="E53" s="23"/>
      <c r="F53" s="7"/>
      <c r="G53" s="11"/>
      <c r="H53" s="11"/>
      <c r="I53" s="11"/>
      <c r="J53" s="11"/>
      <c r="K53" s="11"/>
      <c r="L53" s="11"/>
      <c r="M53" s="11"/>
    </row>
    <row r="54" spans="1:13" x14ac:dyDescent="0.3">
      <c r="A54" s="13" t="s">
        <v>43</v>
      </c>
      <c r="B54" s="13" t="s">
        <v>22</v>
      </c>
      <c r="C54" s="20">
        <v>42107</v>
      </c>
      <c r="D54" s="21" t="s">
        <v>69</v>
      </c>
      <c r="E54" s="20">
        <v>42089</v>
      </c>
      <c r="F54" s="14" t="s">
        <v>97</v>
      </c>
      <c r="G54" s="14"/>
      <c r="H54" s="14"/>
      <c r="I54" s="14">
        <v>112.5</v>
      </c>
      <c r="J54" s="14"/>
      <c r="K54" s="14"/>
      <c r="L54" s="14"/>
      <c r="M54" s="14">
        <f t="shared" ref="M54:M61" si="13">SUM(G54:L54)</f>
        <v>112.5</v>
      </c>
    </row>
    <row r="55" spans="1:13" x14ac:dyDescent="0.3">
      <c r="A55" s="13" t="s">
        <v>43</v>
      </c>
      <c r="B55" s="13" t="s">
        <v>22</v>
      </c>
      <c r="C55" s="20" t="s">
        <v>98</v>
      </c>
      <c r="D55" s="21" t="s">
        <v>69</v>
      </c>
      <c r="E55" s="20" t="s">
        <v>99</v>
      </c>
      <c r="F55" s="14" t="s">
        <v>100</v>
      </c>
      <c r="G55" s="14"/>
      <c r="H55" s="14"/>
      <c r="I55" s="14">
        <v>34.200000000000003</v>
      </c>
      <c r="J55" s="14">
        <v>10</v>
      </c>
      <c r="K55" s="14">
        <v>134.19999999999999</v>
      </c>
      <c r="L55" s="14">
        <v>3.8</v>
      </c>
      <c r="M55" s="14">
        <f t="shared" si="13"/>
        <v>182.2</v>
      </c>
    </row>
    <row r="56" spans="1:13" x14ac:dyDescent="0.3">
      <c r="A56" s="13" t="s">
        <v>43</v>
      </c>
      <c r="B56" s="13" t="s">
        <v>22</v>
      </c>
      <c r="C56" s="32">
        <v>42151</v>
      </c>
      <c r="D56" s="32" t="s">
        <v>63</v>
      </c>
      <c r="E56" s="20">
        <v>42137</v>
      </c>
      <c r="F56" s="14" t="s">
        <v>97</v>
      </c>
      <c r="G56" s="14"/>
      <c r="H56" s="14"/>
      <c r="I56" s="14">
        <v>112.5</v>
      </c>
      <c r="J56" s="14"/>
      <c r="K56" s="14"/>
      <c r="L56" s="14"/>
      <c r="M56" s="14">
        <f t="shared" si="13"/>
        <v>112.5</v>
      </c>
    </row>
    <row r="57" spans="1:13" x14ac:dyDescent="0.3">
      <c r="A57" s="13" t="s">
        <v>43</v>
      </c>
      <c r="B57" s="13" t="s">
        <v>22</v>
      </c>
      <c r="C57" s="32">
        <v>42158</v>
      </c>
      <c r="D57" s="21" t="s">
        <v>69</v>
      </c>
      <c r="E57" s="20">
        <v>42152</v>
      </c>
      <c r="F57" s="14" t="s">
        <v>97</v>
      </c>
      <c r="G57" s="14"/>
      <c r="H57" s="14"/>
      <c r="I57" s="14">
        <v>112.5</v>
      </c>
      <c r="J57" s="14"/>
      <c r="K57" s="14"/>
      <c r="L57" s="14"/>
      <c r="M57" s="14">
        <f t="shared" si="13"/>
        <v>112.5</v>
      </c>
    </row>
    <row r="58" spans="1:13" x14ac:dyDescent="0.3">
      <c r="A58" s="13" t="s">
        <v>43</v>
      </c>
      <c r="B58" s="13" t="s">
        <v>22</v>
      </c>
      <c r="C58" s="20">
        <v>42173</v>
      </c>
      <c r="D58" s="21" t="s">
        <v>101</v>
      </c>
      <c r="E58" s="20">
        <v>42165</v>
      </c>
      <c r="F58" s="14" t="s">
        <v>97</v>
      </c>
      <c r="G58" s="14"/>
      <c r="H58" s="14"/>
      <c r="I58" s="14">
        <v>105.5</v>
      </c>
      <c r="J58" s="14"/>
      <c r="K58" s="14"/>
      <c r="L58" s="14">
        <v>3.8</v>
      </c>
      <c r="M58" s="14">
        <f t="shared" si="13"/>
        <v>109.3</v>
      </c>
    </row>
    <row r="59" spans="1:13" x14ac:dyDescent="0.3">
      <c r="A59" s="15" t="s">
        <v>25</v>
      </c>
      <c r="B59" s="16"/>
      <c r="C59" s="17"/>
      <c r="D59" s="18"/>
      <c r="E59" s="19"/>
      <c r="F59" s="16"/>
      <c r="G59" s="33">
        <f t="shared" ref="G59:L59" si="14">SUBTOTAL(9,G54:G58)</f>
        <v>0</v>
      </c>
      <c r="H59" s="33">
        <f t="shared" si="14"/>
        <v>0</v>
      </c>
      <c r="I59" s="33">
        <f t="shared" si="14"/>
        <v>477.2</v>
      </c>
      <c r="J59" s="33">
        <f t="shared" si="14"/>
        <v>10</v>
      </c>
      <c r="K59" s="33">
        <f t="shared" si="14"/>
        <v>134.19999999999999</v>
      </c>
      <c r="L59" s="33">
        <f t="shared" si="14"/>
        <v>7.6</v>
      </c>
      <c r="M59" s="33">
        <f>SUBTOTAL(9,M54:M58)</f>
        <v>629</v>
      </c>
    </row>
    <row r="60" spans="1:13" x14ac:dyDescent="0.3">
      <c r="A60" s="13" t="s">
        <v>26</v>
      </c>
      <c r="B60" s="13" t="s">
        <v>22</v>
      </c>
      <c r="C60" s="32" t="s">
        <v>60</v>
      </c>
      <c r="D60" s="32" t="s">
        <v>102</v>
      </c>
      <c r="E60" s="20" t="s">
        <v>103</v>
      </c>
      <c r="F60" s="14" t="s">
        <v>104</v>
      </c>
      <c r="G60" s="14"/>
      <c r="H60" s="14"/>
      <c r="I60" s="14">
        <v>105</v>
      </c>
      <c r="J60" s="14"/>
      <c r="K60" s="14">
        <v>132.19</v>
      </c>
      <c r="L60" s="14"/>
      <c r="M60" s="14">
        <f t="shared" si="13"/>
        <v>237.19</v>
      </c>
    </row>
    <row r="61" spans="1:13" x14ac:dyDescent="0.3">
      <c r="A61" s="13" t="s">
        <v>26</v>
      </c>
      <c r="B61" s="13" t="s">
        <v>22</v>
      </c>
      <c r="C61" s="32" t="s">
        <v>60</v>
      </c>
      <c r="D61" s="21" t="s">
        <v>61</v>
      </c>
      <c r="E61" s="20">
        <v>42080</v>
      </c>
      <c r="F61" s="14" t="s">
        <v>104</v>
      </c>
      <c r="G61" s="14"/>
      <c r="H61" s="14"/>
      <c r="I61" s="14">
        <v>80</v>
      </c>
      <c r="J61" s="14"/>
      <c r="K61" s="14">
        <v>132.19</v>
      </c>
      <c r="L61" s="14"/>
      <c r="M61" s="14">
        <f t="shared" si="13"/>
        <v>212.19</v>
      </c>
    </row>
    <row r="62" spans="1:13" x14ac:dyDescent="0.3">
      <c r="A62" s="15" t="s">
        <v>41</v>
      </c>
      <c r="B62" s="16"/>
      <c r="C62" s="17"/>
      <c r="D62" s="18"/>
      <c r="E62" s="19"/>
      <c r="F62" s="16"/>
      <c r="G62" s="33">
        <f t="shared" ref="G62:L62" si="15">SUBTOTAL(9,G60:G61)</f>
        <v>0</v>
      </c>
      <c r="H62" s="33">
        <f t="shared" si="15"/>
        <v>0</v>
      </c>
      <c r="I62" s="33">
        <f t="shared" si="15"/>
        <v>185</v>
      </c>
      <c r="J62" s="33">
        <f t="shared" si="15"/>
        <v>0</v>
      </c>
      <c r="K62" s="33">
        <f t="shared" si="15"/>
        <v>264.38</v>
      </c>
      <c r="L62" s="33">
        <f t="shared" si="15"/>
        <v>0</v>
      </c>
      <c r="M62" s="33">
        <f>SUBTOTAL(9,M60:M61)</f>
        <v>449.38</v>
      </c>
    </row>
    <row r="63" spans="1:13" x14ac:dyDescent="0.3">
      <c r="A63" s="12" t="s">
        <v>49</v>
      </c>
      <c r="B63" s="13" t="s">
        <v>22</v>
      </c>
      <c r="C63" s="12">
        <v>42165</v>
      </c>
      <c r="D63" s="13" t="s">
        <v>61</v>
      </c>
      <c r="E63" s="20">
        <v>42074</v>
      </c>
      <c r="F63" s="13" t="s">
        <v>105</v>
      </c>
      <c r="G63" s="14"/>
      <c r="H63" s="14"/>
      <c r="I63" s="14">
        <v>259</v>
      </c>
      <c r="J63" s="14"/>
      <c r="K63" s="14"/>
      <c r="L63" s="14"/>
      <c r="M63" s="14">
        <f t="shared" ref="M63:M66" si="16">SUM(G63:L63)</f>
        <v>259</v>
      </c>
    </row>
    <row r="64" spans="1:13" x14ac:dyDescent="0.3">
      <c r="A64" s="12" t="s">
        <v>49</v>
      </c>
      <c r="B64" s="13" t="s">
        <v>22</v>
      </c>
      <c r="C64" s="12">
        <v>42165</v>
      </c>
      <c r="D64" s="13" t="s">
        <v>106</v>
      </c>
      <c r="E64" s="20">
        <v>42086</v>
      </c>
      <c r="F64" s="13" t="s">
        <v>107</v>
      </c>
      <c r="G64" s="14"/>
      <c r="H64" s="14"/>
      <c r="I64" s="14">
        <v>171</v>
      </c>
      <c r="J64" s="14"/>
      <c r="K64" s="14"/>
      <c r="L64" s="14"/>
      <c r="M64" s="14">
        <f t="shared" si="16"/>
        <v>171</v>
      </c>
    </row>
    <row r="65" spans="1:13" x14ac:dyDescent="0.3">
      <c r="A65" s="12" t="s">
        <v>49</v>
      </c>
      <c r="B65" s="13" t="s">
        <v>22</v>
      </c>
      <c r="C65" s="12">
        <v>42165</v>
      </c>
      <c r="D65" s="13" t="s">
        <v>63</v>
      </c>
      <c r="E65" s="20">
        <v>42074</v>
      </c>
      <c r="F65" s="13" t="s">
        <v>107</v>
      </c>
      <c r="G65" s="14"/>
      <c r="H65" s="14"/>
      <c r="I65" s="14">
        <v>87.7</v>
      </c>
      <c r="J65" s="14"/>
      <c r="K65" s="14"/>
      <c r="L65" s="14">
        <v>9.9499999999999993</v>
      </c>
      <c r="M65" s="14">
        <f t="shared" si="16"/>
        <v>97.65</v>
      </c>
    </row>
    <row r="66" spans="1:13" x14ac:dyDescent="0.3">
      <c r="A66" s="12" t="s">
        <v>49</v>
      </c>
      <c r="B66" s="13" t="s">
        <v>22</v>
      </c>
      <c r="C66" s="12">
        <v>42165</v>
      </c>
      <c r="D66" s="13" t="s">
        <v>63</v>
      </c>
      <c r="E66" s="20">
        <v>42137</v>
      </c>
      <c r="F66" s="13" t="s">
        <v>107</v>
      </c>
      <c r="G66" s="14"/>
      <c r="H66" s="14"/>
      <c r="I66" s="14">
        <v>144.4</v>
      </c>
      <c r="J66" s="14"/>
      <c r="K66" s="14"/>
      <c r="L66" s="14"/>
      <c r="M66" s="14">
        <f t="shared" si="16"/>
        <v>144.4</v>
      </c>
    </row>
    <row r="67" spans="1:13" x14ac:dyDescent="0.3">
      <c r="A67" s="15" t="s">
        <v>50</v>
      </c>
      <c r="B67" s="16"/>
      <c r="C67" s="19"/>
      <c r="D67" s="18"/>
      <c r="E67" s="19"/>
      <c r="F67" s="16"/>
      <c r="G67" s="33">
        <f>SUBTOTAL(9,G63:G66)</f>
        <v>0</v>
      </c>
      <c r="H67" s="33">
        <f t="shared" ref="H67:L67" si="17">SUBTOTAL(9,H63:H66)</f>
        <v>0</v>
      </c>
      <c r="I67" s="33">
        <f t="shared" si="17"/>
        <v>662.1</v>
      </c>
      <c r="J67" s="33">
        <f t="shared" si="17"/>
        <v>0</v>
      </c>
      <c r="K67" s="33">
        <f t="shared" si="17"/>
        <v>0</v>
      </c>
      <c r="L67" s="33">
        <f t="shared" si="17"/>
        <v>9.9499999999999993</v>
      </c>
      <c r="M67" s="33">
        <f>SUBTOTAL(9,M63:M66)</f>
        <v>672.05</v>
      </c>
    </row>
    <row r="68" spans="1:13" x14ac:dyDescent="0.3">
      <c r="A68" s="6" t="s">
        <v>24</v>
      </c>
      <c r="B68" s="7"/>
      <c r="C68" s="8"/>
      <c r="D68" s="9"/>
      <c r="E68" s="23"/>
      <c r="F68" s="7"/>
      <c r="G68" s="11"/>
      <c r="H68" s="11"/>
      <c r="I68" s="11"/>
      <c r="J68" s="11"/>
      <c r="K68" s="11"/>
      <c r="L68" s="11"/>
      <c r="M68" s="11"/>
    </row>
    <row r="69" spans="1:13" ht="17.25" thickBot="1" x14ac:dyDescent="0.35">
      <c r="A69" s="24"/>
      <c r="B69" s="24"/>
      <c r="C69" s="25"/>
      <c r="D69" s="24"/>
      <c r="E69" s="24"/>
      <c r="F69" s="26"/>
      <c r="G69" s="27">
        <f>SUBTOTAL(9,G3:G68)</f>
        <v>797.44999999999993</v>
      </c>
      <c r="H69" s="27">
        <f t="shared" ref="H69:M69" si="18">SUBTOTAL(9,H3:H68)</f>
        <v>0</v>
      </c>
      <c r="I69" s="27">
        <f t="shared" si="18"/>
        <v>6013.13</v>
      </c>
      <c r="J69" s="27">
        <f t="shared" si="18"/>
        <v>1076.0400000000002</v>
      </c>
      <c r="K69" s="27">
        <f t="shared" si="18"/>
        <v>2144.7500000000005</v>
      </c>
      <c r="L69" s="27">
        <f t="shared" si="18"/>
        <v>182.65</v>
      </c>
      <c r="M69" s="27">
        <f t="shared" si="18"/>
        <v>10214.02</v>
      </c>
    </row>
    <row r="70" spans="1:13" ht="17.25" thickTop="1" x14ac:dyDescent="0.3">
      <c r="A70" s="38"/>
      <c r="B70" s="38"/>
      <c r="C70" s="40"/>
      <c r="D70" s="38"/>
      <c r="E70" s="38"/>
      <c r="F70" s="38"/>
      <c r="G70" s="41"/>
      <c r="H70" s="41"/>
      <c r="I70" s="41"/>
      <c r="J70" s="41"/>
      <c r="K70" s="41"/>
      <c r="L70" s="41"/>
      <c r="M70" s="41"/>
    </row>
    <row r="71" spans="1:13" x14ac:dyDescent="0.3">
      <c r="E71" s="52"/>
      <c r="F71" s="52"/>
    </row>
    <row r="72" spans="1:13" ht="17.25" thickBot="1" x14ac:dyDescent="0.35">
      <c r="A72" s="38"/>
      <c r="B72" s="38"/>
      <c r="C72" s="40"/>
      <c r="D72" s="38"/>
      <c r="E72" s="38"/>
      <c r="F72" s="38"/>
      <c r="G72" s="41"/>
      <c r="H72" s="41"/>
      <c r="I72" s="41"/>
      <c r="J72" s="41"/>
      <c r="K72" s="41"/>
      <c r="L72" s="41"/>
      <c r="M72" s="41"/>
    </row>
    <row r="73" spans="1:13" ht="17.25" thickBot="1" x14ac:dyDescent="0.35">
      <c r="A73" s="38"/>
      <c r="B73" s="38"/>
      <c r="C73" s="38"/>
      <c r="D73" s="38"/>
      <c r="E73" s="38"/>
      <c r="F73" s="34" t="s">
        <v>29</v>
      </c>
      <c r="G73" s="35"/>
      <c r="H73" s="35"/>
      <c r="I73" s="35"/>
      <c r="J73" s="35"/>
      <c r="K73" s="35"/>
      <c r="L73" s="35"/>
      <c r="M73" s="36"/>
    </row>
    <row r="74" spans="1:13" ht="52.5" x14ac:dyDescent="0.3">
      <c r="A74" s="38"/>
      <c r="B74" s="38"/>
      <c r="C74" s="38"/>
      <c r="D74" s="38"/>
      <c r="E74" s="38"/>
      <c r="F74" s="42"/>
      <c r="G74" s="43" t="s">
        <v>6</v>
      </c>
      <c r="H74" s="28" t="s">
        <v>30</v>
      </c>
      <c r="I74" s="28" t="s">
        <v>8</v>
      </c>
      <c r="J74" s="28" t="s">
        <v>9</v>
      </c>
      <c r="K74" s="28" t="s">
        <v>10</v>
      </c>
      <c r="L74" s="28" t="s">
        <v>11</v>
      </c>
      <c r="M74" s="29" t="s">
        <v>31</v>
      </c>
    </row>
    <row r="75" spans="1:13" x14ac:dyDescent="0.3">
      <c r="A75" s="38"/>
      <c r="B75" s="38"/>
      <c r="C75" s="39"/>
      <c r="D75" s="38"/>
      <c r="E75" s="38"/>
      <c r="F75" s="44" t="s">
        <v>32</v>
      </c>
      <c r="G75" s="30">
        <f>G69-G76</f>
        <v>797.44999999999993</v>
      </c>
      <c r="H75" s="30">
        <f t="shared" ref="H75:M75" si="19">H69-H76</f>
        <v>0</v>
      </c>
      <c r="I75" s="30">
        <f t="shared" si="19"/>
        <v>5932.37</v>
      </c>
      <c r="J75" s="30">
        <f t="shared" si="19"/>
        <v>1063.4300000000003</v>
      </c>
      <c r="K75" s="30">
        <f t="shared" si="19"/>
        <v>2144.7500000000005</v>
      </c>
      <c r="L75" s="30">
        <f t="shared" si="19"/>
        <v>182.65</v>
      </c>
      <c r="M75" s="30">
        <f t="shared" si="19"/>
        <v>10120.65</v>
      </c>
    </row>
    <row r="76" spans="1:13" x14ac:dyDescent="0.3">
      <c r="A76" s="38"/>
      <c r="B76" s="38"/>
      <c r="C76" s="39"/>
      <c r="D76" s="38"/>
      <c r="E76" s="38"/>
      <c r="F76" s="44" t="s">
        <v>33</v>
      </c>
      <c r="G76" s="30">
        <f t="shared" ref="G76:L76" si="20">G5</f>
        <v>0</v>
      </c>
      <c r="H76" s="30">
        <f t="shared" si="20"/>
        <v>0</v>
      </c>
      <c r="I76" s="30">
        <f t="shared" si="20"/>
        <v>80.760000000000005</v>
      </c>
      <c r="J76" s="30">
        <f t="shared" si="20"/>
        <v>12.61</v>
      </c>
      <c r="K76" s="30">
        <f t="shared" si="20"/>
        <v>0</v>
      </c>
      <c r="L76" s="30">
        <f t="shared" si="20"/>
        <v>0</v>
      </c>
      <c r="M76" s="30">
        <f>SUM(G76:L76)</f>
        <v>93.37</v>
      </c>
    </row>
    <row r="77" spans="1:13" x14ac:dyDescent="0.3">
      <c r="A77" s="38"/>
      <c r="B77" s="38"/>
      <c r="C77" s="39"/>
      <c r="D77" s="38"/>
      <c r="E77" s="38"/>
      <c r="F77" s="45" t="s">
        <v>34</v>
      </c>
      <c r="G77" s="37">
        <f>SUM(G75:G76)</f>
        <v>797.44999999999993</v>
      </c>
      <c r="H77" s="37">
        <f t="shared" ref="H77:L77" si="21">SUM(H75:H76)</f>
        <v>0</v>
      </c>
      <c r="I77" s="37">
        <f t="shared" si="21"/>
        <v>6013.13</v>
      </c>
      <c r="J77" s="37">
        <f t="shared" si="21"/>
        <v>1076.0400000000002</v>
      </c>
      <c r="K77" s="37">
        <f t="shared" si="21"/>
        <v>2144.7500000000005</v>
      </c>
      <c r="L77" s="37">
        <f t="shared" si="21"/>
        <v>182.65</v>
      </c>
      <c r="M77" s="30">
        <f t="shared" ref="M77:M80" si="22">SUM(G77:L77)</f>
        <v>10214.02</v>
      </c>
    </row>
    <row r="78" spans="1:13" x14ac:dyDescent="0.3">
      <c r="A78" s="38"/>
      <c r="B78" s="38"/>
      <c r="C78" s="39"/>
      <c r="D78" s="38"/>
      <c r="E78" s="38"/>
      <c r="F78" s="44" t="s">
        <v>35</v>
      </c>
      <c r="G78" s="31" t="s">
        <v>38</v>
      </c>
      <c r="H78" s="31"/>
      <c r="I78" s="31" t="s">
        <v>38</v>
      </c>
      <c r="J78" s="31" t="s">
        <v>38</v>
      </c>
      <c r="K78" s="31" t="s">
        <v>38</v>
      </c>
      <c r="L78" s="31" t="s">
        <v>38</v>
      </c>
      <c r="M78" s="30">
        <f t="shared" si="22"/>
        <v>0</v>
      </c>
    </row>
    <row r="79" spans="1:13" x14ac:dyDescent="0.3">
      <c r="A79" s="38"/>
      <c r="B79" s="38"/>
      <c r="C79" s="39"/>
      <c r="D79" s="38"/>
      <c r="E79" s="38"/>
      <c r="F79" s="44" t="s">
        <v>47</v>
      </c>
      <c r="G79" s="31" t="s">
        <v>38</v>
      </c>
      <c r="H79" s="46"/>
      <c r="I79" s="31" t="s">
        <v>38</v>
      </c>
      <c r="J79" s="31" t="s">
        <v>38</v>
      </c>
      <c r="K79" s="31" t="s">
        <v>38</v>
      </c>
      <c r="L79" s="31" t="s">
        <v>38</v>
      </c>
      <c r="M79" s="30">
        <f t="shared" si="22"/>
        <v>0</v>
      </c>
    </row>
    <row r="80" spans="1:13" ht="17.25" thickBot="1" x14ac:dyDescent="0.35">
      <c r="A80" s="38"/>
      <c r="B80" s="38"/>
      <c r="C80" s="39"/>
      <c r="D80" s="38"/>
      <c r="E80" s="38"/>
      <c r="F80" s="47" t="s">
        <v>36</v>
      </c>
      <c r="G80" s="48">
        <f>SUM(G77:G79)</f>
        <v>797.44999999999993</v>
      </c>
      <c r="H80" s="48">
        <f t="shared" ref="H80:L80" si="23">SUM(H77:H79)</f>
        <v>0</v>
      </c>
      <c r="I80" s="48">
        <f t="shared" si="23"/>
        <v>6013.13</v>
      </c>
      <c r="J80" s="48">
        <f t="shared" si="23"/>
        <v>1076.0400000000002</v>
      </c>
      <c r="K80" s="48">
        <f t="shared" si="23"/>
        <v>2144.7500000000005</v>
      </c>
      <c r="L80" s="48">
        <f t="shared" si="23"/>
        <v>182.65</v>
      </c>
      <c r="M80" s="50">
        <f t="shared" si="22"/>
        <v>10214.02</v>
      </c>
    </row>
    <row r="81" spans="1:13" x14ac:dyDescent="0.3">
      <c r="A81" s="38"/>
      <c r="B81" s="38"/>
      <c r="C81" s="38"/>
      <c r="D81" s="38"/>
      <c r="E81" s="38"/>
      <c r="F81" s="38"/>
      <c r="G81" s="41"/>
      <c r="H81" s="41"/>
      <c r="I81" s="41"/>
      <c r="J81" s="41"/>
      <c r="K81" s="41"/>
      <c r="L81" s="41"/>
      <c r="M81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D49" zoomScale="70" zoomScaleNormal="70" workbookViewId="0">
      <selection activeCell="L86" sqref="L86"/>
    </sheetView>
  </sheetViews>
  <sheetFormatPr defaultRowHeight="16.5" x14ac:dyDescent="0.3"/>
  <cols>
    <col min="1" max="1" width="174.42578125" style="49" bestFit="1" customWidth="1"/>
    <col min="2" max="2" width="37.7109375" style="49" bestFit="1" customWidth="1"/>
    <col min="3" max="3" width="32.5703125" style="49" bestFit="1" customWidth="1"/>
    <col min="4" max="4" width="30.140625" style="49" bestFit="1" customWidth="1"/>
    <col min="5" max="5" width="12.5703125" style="49" customWidth="1"/>
    <col min="6" max="6" width="38.140625" style="49" bestFit="1" customWidth="1"/>
    <col min="7" max="7" width="11.5703125" style="49" bestFit="1" customWidth="1"/>
    <col min="8" max="8" width="13.140625" style="49" bestFit="1" customWidth="1"/>
    <col min="9" max="9" width="13" style="49" bestFit="1" customWidth="1"/>
    <col min="10" max="11" width="12.42578125" style="49" bestFit="1" customWidth="1"/>
    <col min="12" max="12" width="9.28515625" style="49" bestFit="1" customWidth="1"/>
    <col min="13" max="13" width="11.5703125" style="49" bestFit="1" customWidth="1"/>
    <col min="14" max="18" width="9.140625" style="49"/>
    <col min="19" max="19" width="17" style="49" customWidth="1"/>
    <col min="20" max="16384" width="9.140625" style="49"/>
  </cols>
  <sheetData>
    <row r="1" spans="1:13" ht="23.25" x14ac:dyDescent="0.35">
      <c r="A1" s="51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"/>
      <c r="M1" s="1"/>
    </row>
    <row r="2" spans="1:13" ht="39.75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42</v>
      </c>
      <c r="K2" s="5" t="s">
        <v>10</v>
      </c>
      <c r="L2" s="5" t="s">
        <v>11</v>
      </c>
      <c r="M2" s="5" t="s">
        <v>12</v>
      </c>
    </row>
    <row r="3" spans="1:13" x14ac:dyDescent="0.3">
      <c r="A3" s="12" t="s">
        <v>13</v>
      </c>
      <c r="B3" s="12" t="s">
        <v>14</v>
      </c>
      <c r="C3" s="12">
        <v>42254</v>
      </c>
      <c r="D3" s="13" t="s">
        <v>109</v>
      </c>
      <c r="E3" s="12">
        <v>42242</v>
      </c>
      <c r="F3" s="13" t="s">
        <v>110</v>
      </c>
      <c r="G3" s="14"/>
      <c r="H3" s="14"/>
      <c r="I3" s="14">
        <v>193.95</v>
      </c>
      <c r="J3" s="14"/>
      <c r="K3" s="14">
        <v>66.8</v>
      </c>
      <c r="L3" s="14"/>
      <c r="M3" s="14">
        <f>SUM(G3:L3)</f>
        <v>260.75</v>
      </c>
    </row>
    <row r="4" spans="1:13" x14ac:dyDescent="0.3">
      <c r="A4" s="12" t="s">
        <v>13</v>
      </c>
      <c r="B4" s="12" t="s">
        <v>14</v>
      </c>
      <c r="C4" s="12">
        <v>42254</v>
      </c>
      <c r="D4" s="13" t="s">
        <v>111</v>
      </c>
      <c r="E4" s="12">
        <v>42250</v>
      </c>
      <c r="F4" s="13" t="s">
        <v>112</v>
      </c>
      <c r="G4" s="14"/>
      <c r="H4" s="14"/>
      <c r="I4" s="14">
        <v>138.34</v>
      </c>
      <c r="J4" s="14"/>
      <c r="K4" s="14"/>
      <c r="L4" s="14"/>
      <c r="M4" s="14">
        <f>SUM(G4:L4)</f>
        <v>138.34</v>
      </c>
    </row>
    <row r="5" spans="1:13" x14ac:dyDescent="0.3">
      <c r="A5" s="15" t="s">
        <v>15</v>
      </c>
      <c r="B5" s="16"/>
      <c r="C5" s="17"/>
      <c r="D5" s="18"/>
      <c r="E5" s="19"/>
      <c r="F5" s="16"/>
      <c r="G5" s="33">
        <f t="shared" ref="G5:L5" si="0">SUBTOTAL(9,G3:G4)</f>
        <v>0</v>
      </c>
      <c r="H5" s="33">
        <f t="shared" si="0"/>
        <v>0</v>
      </c>
      <c r="I5" s="33">
        <f t="shared" si="0"/>
        <v>332.28999999999996</v>
      </c>
      <c r="J5" s="33">
        <f t="shared" si="0"/>
        <v>0</v>
      </c>
      <c r="K5" s="33">
        <f t="shared" si="0"/>
        <v>66.8</v>
      </c>
      <c r="L5" s="33">
        <f t="shared" si="0"/>
        <v>0</v>
      </c>
      <c r="M5" s="33">
        <f>SUBTOTAL(9,M3:M4)</f>
        <v>399.09000000000003</v>
      </c>
    </row>
    <row r="6" spans="1:13" x14ac:dyDescent="0.3">
      <c r="A6" s="12" t="s">
        <v>54</v>
      </c>
      <c r="B6" s="12" t="s">
        <v>16</v>
      </c>
      <c r="C6" s="20">
        <v>42191</v>
      </c>
      <c r="D6" s="13" t="s">
        <v>113</v>
      </c>
      <c r="E6" s="20">
        <v>42173</v>
      </c>
      <c r="F6" s="13" t="s">
        <v>114</v>
      </c>
      <c r="G6" s="14">
        <f>104.94+60.97</f>
        <v>165.91</v>
      </c>
      <c r="H6" s="14"/>
      <c r="I6" s="14"/>
      <c r="J6" s="14"/>
      <c r="K6" s="14">
        <f>1.41+73.99</f>
        <v>75.399999999999991</v>
      </c>
      <c r="L6" s="14"/>
      <c r="M6" s="14">
        <f>SUM(G6:L6)</f>
        <v>241.31</v>
      </c>
    </row>
    <row r="7" spans="1:13" x14ac:dyDescent="0.3">
      <c r="A7" s="12" t="s">
        <v>54</v>
      </c>
      <c r="B7" s="12" t="s">
        <v>16</v>
      </c>
      <c r="C7" s="20">
        <v>42221</v>
      </c>
      <c r="D7" s="21" t="s">
        <v>115</v>
      </c>
      <c r="E7" s="20">
        <v>42192</v>
      </c>
      <c r="F7" s="13" t="s">
        <v>52</v>
      </c>
      <c r="G7" s="14">
        <v>69.05</v>
      </c>
      <c r="H7" s="14"/>
      <c r="I7" s="14"/>
      <c r="J7" s="14"/>
      <c r="K7" s="14"/>
      <c r="L7" s="14"/>
      <c r="M7" s="14">
        <f t="shared" ref="M7" si="1">SUM(G7:L7)</f>
        <v>69.05</v>
      </c>
    </row>
    <row r="8" spans="1:13" x14ac:dyDescent="0.3">
      <c r="A8" s="15" t="s">
        <v>17</v>
      </c>
      <c r="B8" s="16"/>
      <c r="C8" s="17"/>
      <c r="D8" s="18"/>
      <c r="E8" s="19"/>
      <c r="F8" s="16"/>
      <c r="G8" s="33">
        <f t="shared" ref="G8:M8" si="2">SUBTOTAL(9,G6:G7)</f>
        <v>234.95999999999998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75.399999999999991</v>
      </c>
      <c r="L8" s="33">
        <f t="shared" si="2"/>
        <v>0</v>
      </c>
      <c r="M8" s="33">
        <f t="shared" si="2"/>
        <v>310.36</v>
      </c>
    </row>
    <row r="9" spans="1:13" x14ac:dyDescent="0.3">
      <c r="A9" s="12" t="s">
        <v>44</v>
      </c>
      <c r="B9" s="12" t="s">
        <v>55</v>
      </c>
      <c r="C9" s="20" t="s">
        <v>116</v>
      </c>
      <c r="D9" s="13" t="s">
        <v>117</v>
      </c>
      <c r="E9" s="20">
        <v>42209</v>
      </c>
      <c r="F9" s="22" t="s">
        <v>118</v>
      </c>
      <c r="G9" s="14"/>
      <c r="H9" s="14"/>
      <c r="I9" s="14">
        <v>35.770000000000003</v>
      </c>
      <c r="J9" s="14">
        <v>44.4</v>
      </c>
      <c r="K9" s="14"/>
      <c r="L9" s="14"/>
      <c r="M9" s="14">
        <f>SUM(G9:L9)</f>
        <v>80.17</v>
      </c>
    </row>
    <row r="10" spans="1:13" x14ac:dyDescent="0.3">
      <c r="A10" s="12" t="s">
        <v>44</v>
      </c>
      <c r="B10" s="12" t="s">
        <v>55</v>
      </c>
      <c r="C10" s="20">
        <v>42254</v>
      </c>
      <c r="D10" s="21" t="s">
        <v>119</v>
      </c>
      <c r="E10" s="20">
        <v>42250</v>
      </c>
      <c r="F10" s="13" t="s">
        <v>112</v>
      </c>
      <c r="G10" s="14"/>
      <c r="H10" s="14"/>
      <c r="I10" s="14">
        <v>81.34</v>
      </c>
      <c r="J10" s="14"/>
      <c r="K10" s="14"/>
      <c r="L10" s="14"/>
      <c r="M10" s="14">
        <f t="shared" ref="M10" si="3">SUM(G10:L10)</f>
        <v>81.34</v>
      </c>
    </row>
    <row r="11" spans="1:13" x14ac:dyDescent="0.3">
      <c r="A11" s="15" t="s">
        <v>45</v>
      </c>
      <c r="B11" s="16"/>
      <c r="C11" s="17"/>
      <c r="D11" s="18"/>
      <c r="E11" s="19"/>
      <c r="F11" s="16"/>
      <c r="G11" s="33">
        <f t="shared" ref="G11:M11" si="4">SUBTOTAL(9,G9:G10)</f>
        <v>0</v>
      </c>
      <c r="H11" s="33">
        <f t="shared" si="4"/>
        <v>0</v>
      </c>
      <c r="I11" s="33">
        <f t="shared" si="4"/>
        <v>117.11000000000001</v>
      </c>
      <c r="J11" s="33">
        <f t="shared" si="4"/>
        <v>44.4</v>
      </c>
      <c r="K11" s="33">
        <f t="shared" si="4"/>
        <v>0</v>
      </c>
      <c r="L11" s="33">
        <f t="shared" si="4"/>
        <v>0</v>
      </c>
      <c r="M11" s="33">
        <f t="shared" si="4"/>
        <v>161.51</v>
      </c>
    </row>
    <row r="12" spans="1:13" x14ac:dyDescent="0.3">
      <c r="A12" s="6" t="s">
        <v>40</v>
      </c>
      <c r="B12" s="7" t="s">
        <v>46</v>
      </c>
      <c r="C12" s="8"/>
      <c r="D12" s="9"/>
      <c r="E12" s="10"/>
      <c r="F12" s="7"/>
      <c r="G12" s="11">
        <v>0</v>
      </c>
      <c r="H12" s="11"/>
      <c r="I12" s="11"/>
      <c r="J12" s="11"/>
      <c r="K12" s="11"/>
      <c r="L12" s="11"/>
      <c r="M12" s="11">
        <f>SUBTOTAL(9,M11:M11)</f>
        <v>0</v>
      </c>
    </row>
    <row r="13" spans="1:13" x14ac:dyDescent="0.3">
      <c r="A13" s="12" t="s">
        <v>18</v>
      </c>
      <c r="B13" s="12" t="s">
        <v>37</v>
      </c>
      <c r="C13" s="12">
        <v>42229</v>
      </c>
      <c r="D13" s="13" t="s">
        <v>56</v>
      </c>
      <c r="E13" s="20">
        <v>42165</v>
      </c>
      <c r="F13" s="13" t="s">
        <v>57</v>
      </c>
      <c r="G13" s="14"/>
      <c r="H13" s="14"/>
      <c r="I13" s="14">
        <v>337.11</v>
      </c>
      <c r="J13" s="14">
        <f>21.5</f>
        <v>21.5</v>
      </c>
      <c r="K13" s="14">
        <f>7.14+4.2</f>
        <v>11.34</v>
      </c>
      <c r="L13" s="14">
        <v>4.5999999999999996</v>
      </c>
      <c r="M13" s="14">
        <f t="shared" ref="M13:M20" si="5">SUM(G13:L13)</f>
        <v>374.55</v>
      </c>
    </row>
    <row r="14" spans="1:13" x14ac:dyDescent="0.3">
      <c r="A14" s="12" t="s">
        <v>18</v>
      </c>
      <c r="B14" s="12" t="s">
        <v>37</v>
      </c>
      <c r="C14" s="20">
        <v>42229</v>
      </c>
      <c r="D14" s="13" t="s">
        <v>56</v>
      </c>
      <c r="E14" s="20">
        <v>42229</v>
      </c>
      <c r="F14" s="13" t="s">
        <v>57</v>
      </c>
      <c r="G14" s="14"/>
      <c r="H14" s="14"/>
      <c r="I14" s="14">
        <v>337.11</v>
      </c>
      <c r="J14" s="14">
        <v>16.5</v>
      </c>
      <c r="K14" s="14">
        <v>5.8</v>
      </c>
      <c r="L14" s="14">
        <v>4.5999999999999996</v>
      </c>
      <c r="M14" s="14">
        <f t="shared" si="5"/>
        <v>364.01000000000005</v>
      </c>
    </row>
    <row r="15" spans="1:13" x14ac:dyDescent="0.3">
      <c r="A15" s="12" t="s">
        <v>18</v>
      </c>
      <c r="B15" s="12" t="s">
        <v>37</v>
      </c>
      <c r="C15" s="20">
        <v>42229</v>
      </c>
      <c r="D15" s="13" t="s">
        <v>120</v>
      </c>
      <c r="E15" s="20">
        <v>42177</v>
      </c>
      <c r="F15" s="13" t="s">
        <v>57</v>
      </c>
      <c r="G15" s="14"/>
      <c r="H15" s="14"/>
      <c r="I15" s="14">
        <f>276.42+17</f>
        <v>293.42</v>
      </c>
      <c r="J15" s="14"/>
      <c r="K15" s="14">
        <v>6.64</v>
      </c>
      <c r="L15" s="14">
        <v>6.4</v>
      </c>
      <c r="M15" s="14">
        <f t="shared" si="5"/>
        <v>306.45999999999998</v>
      </c>
    </row>
    <row r="16" spans="1:13" x14ac:dyDescent="0.3">
      <c r="A16" s="12" t="s">
        <v>18</v>
      </c>
      <c r="B16" s="12" t="s">
        <v>37</v>
      </c>
      <c r="C16" s="20">
        <v>42229</v>
      </c>
      <c r="D16" s="21" t="s">
        <v>121</v>
      </c>
      <c r="E16" s="20">
        <v>42186</v>
      </c>
      <c r="F16" s="13" t="s">
        <v>57</v>
      </c>
      <c r="G16" s="14"/>
      <c r="H16" s="14"/>
      <c r="I16" s="14">
        <v>337.11</v>
      </c>
      <c r="J16" s="14">
        <v>16</v>
      </c>
      <c r="K16" s="14">
        <v>3.75</v>
      </c>
      <c r="L16" s="14">
        <v>6.4</v>
      </c>
      <c r="M16" s="14">
        <f t="shared" si="5"/>
        <v>363.26</v>
      </c>
    </row>
    <row r="17" spans="1:13" x14ac:dyDescent="0.3">
      <c r="A17" s="13" t="s">
        <v>18</v>
      </c>
      <c r="B17" s="12" t="s">
        <v>37</v>
      </c>
      <c r="C17" s="20">
        <v>42229</v>
      </c>
      <c r="D17" s="21" t="s">
        <v>122</v>
      </c>
      <c r="E17" s="20">
        <v>42193</v>
      </c>
      <c r="F17" s="13" t="s">
        <v>57</v>
      </c>
      <c r="G17" s="14"/>
      <c r="H17" s="14"/>
      <c r="I17" s="14">
        <v>337.11</v>
      </c>
      <c r="J17" s="14">
        <v>16</v>
      </c>
      <c r="K17" s="14">
        <v>12.95</v>
      </c>
      <c r="L17" s="14">
        <v>4.5999999999999996</v>
      </c>
      <c r="M17" s="14">
        <f t="shared" si="5"/>
        <v>370.66</v>
      </c>
    </row>
    <row r="18" spans="1:13" x14ac:dyDescent="0.3">
      <c r="A18" s="13" t="s">
        <v>18</v>
      </c>
      <c r="B18" s="12" t="s">
        <v>37</v>
      </c>
      <c r="C18" s="20">
        <v>42229</v>
      </c>
      <c r="D18" s="21" t="s">
        <v>123</v>
      </c>
      <c r="E18" s="20">
        <v>42199</v>
      </c>
      <c r="F18" s="13" t="s">
        <v>57</v>
      </c>
      <c r="G18" s="14"/>
      <c r="H18" s="14"/>
      <c r="I18" s="14">
        <v>337.11</v>
      </c>
      <c r="J18" s="14">
        <v>16</v>
      </c>
      <c r="K18" s="14">
        <v>12.05</v>
      </c>
      <c r="L18" s="14">
        <v>6.4</v>
      </c>
      <c r="M18" s="14">
        <f t="shared" si="5"/>
        <v>371.56</v>
      </c>
    </row>
    <row r="19" spans="1:13" x14ac:dyDescent="0.3">
      <c r="A19" s="13" t="s">
        <v>18</v>
      </c>
      <c r="B19" s="12" t="s">
        <v>37</v>
      </c>
      <c r="C19" s="20">
        <v>42233</v>
      </c>
      <c r="D19" s="21" t="s">
        <v>56</v>
      </c>
      <c r="E19" s="20">
        <v>42206</v>
      </c>
      <c r="F19" s="13" t="s">
        <v>57</v>
      </c>
      <c r="G19" s="14"/>
      <c r="H19" s="14"/>
      <c r="I19" s="14">
        <v>337.11</v>
      </c>
      <c r="J19" s="14">
        <v>17</v>
      </c>
      <c r="K19" s="14">
        <v>8.33</v>
      </c>
      <c r="L19" s="14"/>
      <c r="M19" s="14">
        <f t="shared" si="5"/>
        <v>362.44</v>
      </c>
    </row>
    <row r="20" spans="1:13" x14ac:dyDescent="0.3">
      <c r="A20" s="13" t="s">
        <v>18</v>
      </c>
      <c r="B20" s="12" t="s">
        <v>37</v>
      </c>
      <c r="C20" s="20">
        <v>42254</v>
      </c>
      <c r="D20" s="21" t="s">
        <v>124</v>
      </c>
      <c r="E20" s="20">
        <v>42263</v>
      </c>
      <c r="F20" s="13" t="s">
        <v>38</v>
      </c>
      <c r="G20" s="14"/>
      <c r="H20" s="14"/>
      <c r="I20" s="14"/>
      <c r="J20" s="14"/>
      <c r="K20" s="14">
        <v>1.41</v>
      </c>
      <c r="L20" s="14"/>
      <c r="M20" s="14">
        <f t="shared" si="5"/>
        <v>1.41</v>
      </c>
    </row>
    <row r="21" spans="1:13" x14ac:dyDescent="0.3">
      <c r="A21" s="15" t="s">
        <v>20</v>
      </c>
      <c r="B21" s="16"/>
      <c r="C21" s="17"/>
      <c r="D21" s="18"/>
      <c r="E21" s="19"/>
      <c r="F21" s="16"/>
      <c r="G21" s="33">
        <f t="shared" ref="G21:M21" si="6">SUBTOTAL(9,G13:G20)</f>
        <v>0</v>
      </c>
      <c r="H21" s="33">
        <f t="shared" si="6"/>
        <v>0</v>
      </c>
      <c r="I21" s="33">
        <f t="shared" si="6"/>
        <v>2316.0800000000004</v>
      </c>
      <c r="J21" s="33">
        <f t="shared" si="6"/>
        <v>103</v>
      </c>
      <c r="K21" s="33">
        <f t="shared" si="6"/>
        <v>62.269999999999996</v>
      </c>
      <c r="L21" s="33">
        <f t="shared" si="6"/>
        <v>33</v>
      </c>
      <c r="M21" s="33">
        <f t="shared" si="6"/>
        <v>2514.35</v>
      </c>
    </row>
    <row r="22" spans="1:13" ht="15.75" customHeight="1" x14ac:dyDescent="0.3">
      <c r="A22" s="12" t="s">
        <v>27</v>
      </c>
      <c r="B22" s="13" t="s">
        <v>22</v>
      </c>
      <c r="C22" s="20" t="s">
        <v>125</v>
      </c>
      <c r="D22" s="21" t="s">
        <v>126</v>
      </c>
      <c r="E22" s="20">
        <v>42180</v>
      </c>
      <c r="F22" s="13" t="s">
        <v>74</v>
      </c>
      <c r="G22" s="14">
        <v>213.74</v>
      </c>
      <c r="H22" s="14"/>
      <c r="I22" s="14">
        <v>9.6</v>
      </c>
      <c r="J22" s="14">
        <v>13</v>
      </c>
      <c r="K22" s="14">
        <f>105.03+16.25</f>
        <v>121.28</v>
      </c>
      <c r="L22" s="14"/>
      <c r="M22" s="14">
        <f>SUM(G22:L22)</f>
        <v>357.62</v>
      </c>
    </row>
    <row r="23" spans="1:13" ht="15.75" customHeight="1" x14ac:dyDescent="0.3">
      <c r="A23" s="12" t="s">
        <v>27</v>
      </c>
      <c r="B23" s="13" t="s">
        <v>22</v>
      </c>
      <c r="C23" s="20">
        <v>42207</v>
      </c>
      <c r="D23" s="21" t="s">
        <v>124</v>
      </c>
      <c r="E23" s="20">
        <v>42193</v>
      </c>
      <c r="F23" s="13" t="s">
        <v>127</v>
      </c>
      <c r="G23" s="14"/>
      <c r="H23" s="14"/>
      <c r="I23" s="14">
        <v>58.65</v>
      </c>
      <c r="J23" s="14"/>
      <c r="K23" s="14"/>
      <c r="L23" s="14">
        <v>5.0999999999999996</v>
      </c>
      <c r="M23" s="14">
        <f>SUM(G23:L23)</f>
        <v>63.75</v>
      </c>
    </row>
    <row r="24" spans="1:13" x14ac:dyDescent="0.3">
      <c r="A24" s="12" t="s">
        <v>27</v>
      </c>
      <c r="B24" s="13" t="s">
        <v>22</v>
      </c>
      <c r="C24" s="20" t="s">
        <v>128</v>
      </c>
      <c r="D24" s="21" t="s">
        <v>126</v>
      </c>
      <c r="E24" s="20">
        <v>42215</v>
      </c>
      <c r="F24" s="13" t="s">
        <v>74</v>
      </c>
      <c r="G24" s="14">
        <f>140.53-140.53</f>
        <v>0</v>
      </c>
      <c r="H24" s="14"/>
      <c r="I24" s="14">
        <v>16.149999999999999</v>
      </c>
      <c r="J24" s="14"/>
      <c r="K24" s="14">
        <f>122.13+30.75</f>
        <v>152.88</v>
      </c>
      <c r="L24" s="14"/>
      <c r="M24" s="14">
        <f t="shared" ref="M24:M25" si="7">SUM(G24:L24)</f>
        <v>169.03</v>
      </c>
    </row>
    <row r="25" spans="1:13" x14ac:dyDescent="0.3">
      <c r="A25" s="12" t="s">
        <v>27</v>
      </c>
      <c r="B25" s="13" t="s">
        <v>22</v>
      </c>
      <c r="C25" s="20" t="s">
        <v>129</v>
      </c>
      <c r="D25" s="21" t="s">
        <v>126</v>
      </c>
      <c r="E25" s="20">
        <v>42243</v>
      </c>
      <c r="F25" s="13" t="s">
        <v>74</v>
      </c>
      <c r="G25" s="14">
        <v>143.32</v>
      </c>
      <c r="H25" s="14"/>
      <c r="I25" s="14">
        <v>4.8</v>
      </c>
      <c r="J25" s="14">
        <v>12</v>
      </c>
      <c r="K25" s="14">
        <f>134.2+16.7</f>
        <v>150.89999999999998</v>
      </c>
      <c r="L25" s="14"/>
      <c r="M25" s="14">
        <f t="shared" si="7"/>
        <v>311.02</v>
      </c>
    </row>
    <row r="26" spans="1:13" x14ac:dyDescent="0.3">
      <c r="A26" s="12" t="s">
        <v>27</v>
      </c>
      <c r="B26" s="13" t="s">
        <v>22</v>
      </c>
      <c r="C26" s="20" t="s">
        <v>130</v>
      </c>
      <c r="D26" s="21" t="s">
        <v>124</v>
      </c>
      <c r="E26" s="20">
        <v>42263</v>
      </c>
      <c r="F26" s="13" t="s">
        <v>74</v>
      </c>
      <c r="G26" s="14">
        <v>52.64</v>
      </c>
      <c r="H26" s="14"/>
      <c r="I26" s="14">
        <v>4.8</v>
      </c>
      <c r="J26" s="14">
        <v>22.5</v>
      </c>
      <c r="K26" s="14">
        <v>12.7</v>
      </c>
      <c r="L26" s="14"/>
      <c r="M26" s="14">
        <f>SUM(G26:L26)</f>
        <v>92.64</v>
      </c>
    </row>
    <row r="27" spans="1:13" x14ac:dyDescent="0.3">
      <c r="A27" s="12" t="s">
        <v>27</v>
      </c>
      <c r="B27" s="13" t="s">
        <v>22</v>
      </c>
      <c r="C27" s="20">
        <v>42221</v>
      </c>
      <c r="D27" s="21" t="s">
        <v>126</v>
      </c>
      <c r="E27" s="20">
        <v>42271</v>
      </c>
      <c r="F27" s="13" t="s">
        <v>74</v>
      </c>
      <c r="G27" s="14">
        <v>123.2</v>
      </c>
      <c r="H27" s="14"/>
      <c r="I27" s="14"/>
      <c r="J27" s="14"/>
      <c r="K27" s="14"/>
      <c r="L27" s="14"/>
      <c r="M27" s="14">
        <f t="shared" ref="M27:M28" si="8">SUM(G27:L27)</f>
        <v>123.2</v>
      </c>
    </row>
    <row r="28" spans="1:13" x14ac:dyDescent="0.3">
      <c r="A28" s="12" t="s">
        <v>27</v>
      </c>
      <c r="B28" s="13" t="s">
        <v>22</v>
      </c>
      <c r="C28" s="20">
        <v>42254</v>
      </c>
      <c r="D28" s="21" t="s">
        <v>126</v>
      </c>
      <c r="E28" s="20">
        <v>42305</v>
      </c>
      <c r="F28" s="13" t="s">
        <v>74</v>
      </c>
      <c r="G28" s="14">
        <v>123.2</v>
      </c>
      <c r="H28" s="14"/>
      <c r="I28" s="14"/>
      <c r="J28" s="14"/>
      <c r="K28" s="14"/>
      <c r="L28" s="14"/>
      <c r="M28" s="14">
        <f t="shared" si="8"/>
        <v>123.2</v>
      </c>
    </row>
    <row r="29" spans="1:13" x14ac:dyDescent="0.3">
      <c r="A29" s="15" t="s">
        <v>28</v>
      </c>
      <c r="B29" s="16"/>
      <c r="C29" s="19"/>
      <c r="D29" s="18"/>
      <c r="E29" s="19"/>
      <c r="F29" s="16"/>
      <c r="G29" s="33">
        <f t="shared" ref="G29:M29" si="9">SUBTOTAL(9,G22:G28)</f>
        <v>656.1</v>
      </c>
      <c r="H29" s="33">
        <f t="shared" si="9"/>
        <v>0</v>
      </c>
      <c r="I29" s="33">
        <f t="shared" si="9"/>
        <v>94</v>
      </c>
      <c r="J29" s="33">
        <f t="shared" si="9"/>
        <v>47.5</v>
      </c>
      <c r="K29" s="33">
        <f t="shared" si="9"/>
        <v>437.75999999999993</v>
      </c>
      <c r="L29" s="33">
        <f t="shared" si="9"/>
        <v>5.0999999999999996</v>
      </c>
      <c r="M29" s="33">
        <f t="shared" si="9"/>
        <v>1240.46</v>
      </c>
    </row>
    <row r="30" spans="1:13" x14ac:dyDescent="0.3">
      <c r="A30" s="6" t="s">
        <v>48</v>
      </c>
      <c r="B30" s="7" t="s">
        <v>22</v>
      </c>
      <c r="C30" s="8"/>
      <c r="D30" s="9"/>
      <c r="E30" s="10"/>
      <c r="F30" s="7"/>
      <c r="G30" s="11"/>
      <c r="H30" s="11"/>
      <c r="I30" s="11"/>
      <c r="J30" s="11"/>
      <c r="K30" s="11"/>
      <c r="L30" s="11"/>
      <c r="M30" s="11"/>
    </row>
    <row r="31" spans="1:13" x14ac:dyDescent="0.3">
      <c r="A31" s="13" t="s">
        <v>77</v>
      </c>
      <c r="B31" s="12" t="s">
        <v>22</v>
      </c>
      <c r="C31" s="20" t="s">
        <v>131</v>
      </c>
      <c r="D31" s="21" t="s">
        <v>124</v>
      </c>
      <c r="E31" s="12">
        <v>42193</v>
      </c>
      <c r="F31" s="22" t="s">
        <v>80</v>
      </c>
      <c r="G31" s="14"/>
      <c r="H31" s="14"/>
      <c r="I31" s="14">
        <v>66.7</v>
      </c>
      <c r="J31" s="14">
        <v>17</v>
      </c>
      <c r="K31" s="14"/>
      <c r="L31" s="14"/>
      <c r="M31" s="14">
        <f>SUM(G31:L31)</f>
        <v>83.7</v>
      </c>
    </row>
    <row r="32" spans="1:13" x14ac:dyDescent="0.3">
      <c r="A32" s="13" t="s">
        <v>77</v>
      </c>
      <c r="B32" s="12" t="s">
        <v>22</v>
      </c>
      <c r="C32" s="20" t="s">
        <v>132</v>
      </c>
      <c r="D32" s="21" t="s">
        <v>124</v>
      </c>
      <c r="E32" s="12">
        <v>42263</v>
      </c>
      <c r="F32" s="22" t="s">
        <v>80</v>
      </c>
      <c r="G32" s="14"/>
      <c r="H32" s="14"/>
      <c r="I32" s="14">
        <v>66.709999999999994</v>
      </c>
      <c r="J32" s="14">
        <v>17</v>
      </c>
      <c r="K32" s="14"/>
      <c r="L32" s="14"/>
      <c r="M32" s="14">
        <f>SUM(G32:L32)</f>
        <v>83.71</v>
      </c>
    </row>
    <row r="33" spans="1:13" x14ac:dyDescent="0.3">
      <c r="A33" s="13" t="s">
        <v>77</v>
      </c>
      <c r="B33" s="12" t="s">
        <v>22</v>
      </c>
      <c r="C33" s="20" t="s">
        <v>133</v>
      </c>
      <c r="D33" s="21" t="s">
        <v>95</v>
      </c>
      <c r="E33" s="12">
        <v>42201</v>
      </c>
      <c r="F33" s="22" t="s">
        <v>80</v>
      </c>
      <c r="G33" s="14"/>
      <c r="H33" s="14"/>
      <c r="I33" s="14">
        <f>66.12-59.38</f>
        <v>6.740000000000002</v>
      </c>
      <c r="J33" s="14"/>
      <c r="K33" s="14"/>
      <c r="L33" s="14"/>
      <c r="M33" s="14">
        <f>SUM(G33:L33)</f>
        <v>6.740000000000002</v>
      </c>
    </row>
    <row r="34" spans="1:13" x14ac:dyDescent="0.3">
      <c r="A34" s="15" t="s">
        <v>81</v>
      </c>
      <c r="B34" s="16"/>
      <c r="C34" s="19"/>
      <c r="D34" s="18"/>
      <c r="E34" s="19"/>
      <c r="F34" s="16"/>
      <c r="G34" s="33">
        <f t="shared" ref="G34:L34" si="10">SUBTOTAL(9,G31:G33)</f>
        <v>0</v>
      </c>
      <c r="H34" s="33">
        <f t="shared" si="10"/>
        <v>0</v>
      </c>
      <c r="I34" s="33">
        <f t="shared" si="10"/>
        <v>140.15</v>
      </c>
      <c r="J34" s="33">
        <f t="shared" si="10"/>
        <v>34</v>
      </c>
      <c r="K34" s="33">
        <f t="shared" si="10"/>
        <v>0</v>
      </c>
      <c r="L34" s="33">
        <f t="shared" si="10"/>
        <v>0</v>
      </c>
      <c r="M34" s="33">
        <f>SUBTOTAL(9,M31:M33)</f>
        <v>174.15</v>
      </c>
    </row>
    <row r="35" spans="1:13" x14ac:dyDescent="0.3">
      <c r="A35" s="13" t="s">
        <v>21</v>
      </c>
      <c r="B35" s="12" t="s">
        <v>22</v>
      </c>
      <c r="C35" s="20" t="s">
        <v>134</v>
      </c>
      <c r="D35" s="21" t="s">
        <v>135</v>
      </c>
      <c r="E35" s="12">
        <v>41070</v>
      </c>
      <c r="F35" s="22" t="s">
        <v>136</v>
      </c>
      <c r="G35" s="14">
        <v>121.58</v>
      </c>
      <c r="H35" s="14"/>
      <c r="I35" s="14">
        <v>21.75</v>
      </c>
      <c r="J35" s="14"/>
      <c r="K35" s="14">
        <f>100+17.95</f>
        <v>117.95</v>
      </c>
      <c r="L35" s="14">
        <f>6.5+27.5</f>
        <v>34</v>
      </c>
      <c r="M35" s="14">
        <f>SUM(G35:L35)</f>
        <v>295.27999999999997</v>
      </c>
    </row>
    <row r="36" spans="1:13" x14ac:dyDescent="0.3">
      <c r="A36" s="13" t="s">
        <v>21</v>
      </c>
      <c r="B36" s="12" t="s">
        <v>22</v>
      </c>
      <c r="C36" s="20">
        <v>42198</v>
      </c>
      <c r="D36" s="21" t="s">
        <v>126</v>
      </c>
      <c r="E36" s="12">
        <v>42180</v>
      </c>
      <c r="F36" s="22" t="s">
        <v>136</v>
      </c>
      <c r="G36" s="14"/>
      <c r="H36" s="14"/>
      <c r="I36" s="14"/>
      <c r="J36" s="14">
        <v>6.3</v>
      </c>
      <c r="K36" s="14">
        <f>5.25</f>
        <v>5.25</v>
      </c>
      <c r="L36" s="14">
        <f>27.5</f>
        <v>27.5</v>
      </c>
      <c r="M36" s="14">
        <f t="shared" ref="M36:M39" si="11">SUM(G36:L36)</f>
        <v>39.049999999999997</v>
      </c>
    </row>
    <row r="37" spans="1:13" x14ac:dyDescent="0.3">
      <c r="A37" s="13" t="s">
        <v>21</v>
      </c>
      <c r="B37" s="12" t="s">
        <v>22</v>
      </c>
      <c r="C37" s="20">
        <v>42198</v>
      </c>
      <c r="D37" s="21" t="s">
        <v>126</v>
      </c>
      <c r="E37" s="12">
        <v>42152</v>
      </c>
      <c r="F37" s="22" t="s">
        <v>136</v>
      </c>
      <c r="G37" s="14"/>
      <c r="H37" s="14"/>
      <c r="I37" s="14"/>
      <c r="J37" s="14">
        <v>6.3</v>
      </c>
      <c r="K37" s="14">
        <f>5.3</f>
        <v>5.3</v>
      </c>
      <c r="L37" s="14">
        <f>27.5</f>
        <v>27.5</v>
      </c>
      <c r="M37" s="14">
        <f t="shared" si="11"/>
        <v>39.1</v>
      </c>
    </row>
    <row r="38" spans="1:13" x14ac:dyDescent="0.3">
      <c r="A38" s="13" t="s">
        <v>21</v>
      </c>
      <c r="B38" s="12" t="s">
        <v>22</v>
      </c>
      <c r="C38" s="20">
        <v>42254</v>
      </c>
      <c r="D38" s="21" t="s">
        <v>135</v>
      </c>
      <c r="E38" s="12">
        <v>42284</v>
      </c>
      <c r="F38" s="22" t="s">
        <v>136</v>
      </c>
      <c r="G38" s="14">
        <v>82.34</v>
      </c>
      <c r="H38" s="14"/>
      <c r="I38" s="14"/>
      <c r="J38" s="14"/>
      <c r="K38" s="14"/>
      <c r="L38" s="14"/>
      <c r="M38" s="14">
        <f t="shared" si="11"/>
        <v>82.34</v>
      </c>
    </row>
    <row r="39" spans="1:13" x14ac:dyDescent="0.3">
      <c r="A39" s="13" t="s">
        <v>21</v>
      </c>
      <c r="B39" s="12" t="s">
        <v>22</v>
      </c>
      <c r="C39" s="20">
        <v>42254</v>
      </c>
      <c r="D39" s="21" t="s">
        <v>124</v>
      </c>
      <c r="E39" s="12">
        <v>42262</v>
      </c>
      <c r="F39" s="22" t="s">
        <v>136</v>
      </c>
      <c r="G39" s="14">
        <v>92.67</v>
      </c>
      <c r="H39" s="14"/>
      <c r="I39" s="14"/>
      <c r="J39" s="14"/>
      <c r="K39" s="14"/>
      <c r="L39" s="14"/>
      <c r="M39" s="14">
        <f t="shared" si="11"/>
        <v>92.67</v>
      </c>
    </row>
    <row r="40" spans="1:13" x14ac:dyDescent="0.3">
      <c r="A40" s="15" t="s">
        <v>39</v>
      </c>
      <c r="B40" s="16"/>
      <c r="C40" s="19"/>
      <c r="D40" s="18"/>
      <c r="E40" s="19"/>
      <c r="F40" s="16"/>
      <c r="G40" s="33">
        <f t="shared" ref="G40:M40" si="12">SUBTOTAL(9,G35:G39)</f>
        <v>296.59000000000003</v>
      </c>
      <c r="H40" s="33">
        <f t="shared" si="12"/>
        <v>0</v>
      </c>
      <c r="I40" s="33">
        <f t="shared" si="12"/>
        <v>21.75</v>
      </c>
      <c r="J40" s="33">
        <f t="shared" si="12"/>
        <v>12.6</v>
      </c>
      <c r="K40" s="33">
        <f t="shared" si="12"/>
        <v>128.5</v>
      </c>
      <c r="L40" s="33">
        <f t="shared" si="12"/>
        <v>89</v>
      </c>
      <c r="M40" s="33">
        <f t="shared" si="12"/>
        <v>548.43999999999994</v>
      </c>
    </row>
    <row r="41" spans="1:13" x14ac:dyDescent="0.3">
      <c r="A41" s="12" t="s">
        <v>90</v>
      </c>
      <c r="B41" s="12" t="s">
        <v>22</v>
      </c>
      <c r="C41" s="20" t="s">
        <v>137</v>
      </c>
      <c r="D41" s="21" t="s">
        <v>124</v>
      </c>
      <c r="E41" s="12">
        <v>42193</v>
      </c>
      <c r="F41" s="22" t="s">
        <v>138</v>
      </c>
      <c r="G41" s="14">
        <f>52.07-45.33+52.07</f>
        <v>58.81</v>
      </c>
      <c r="H41" s="14"/>
      <c r="I41" s="14"/>
      <c r="J41" s="14"/>
      <c r="K41" s="14"/>
      <c r="L41" s="14"/>
      <c r="M41" s="14">
        <f t="shared" ref="M41:M51" si="13">SUM(G41:L41)</f>
        <v>58.81</v>
      </c>
    </row>
    <row r="42" spans="1:13" x14ac:dyDescent="0.3">
      <c r="A42" s="13" t="s">
        <v>90</v>
      </c>
      <c r="B42" s="12" t="s">
        <v>22</v>
      </c>
      <c r="C42" s="20">
        <v>42191</v>
      </c>
      <c r="D42" s="21" t="s">
        <v>139</v>
      </c>
      <c r="E42" s="12">
        <v>42165</v>
      </c>
      <c r="F42" s="22" t="s">
        <v>138</v>
      </c>
      <c r="G42" s="14">
        <v>52.07</v>
      </c>
      <c r="H42" s="14"/>
      <c r="I42" s="14"/>
      <c r="J42" s="14"/>
      <c r="K42" s="14"/>
      <c r="L42" s="14"/>
      <c r="M42" s="14">
        <f t="shared" si="13"/>
        <v>52.07</v>
      </c>
    </row>
    <row r="43" spans="1:13" x14ac:dyDescent="0.3">
      <c r="A43" s="13" t="s">
        <v>90</v>
      </c>
      <c r="B43" s="12" t="s">
        <v>22</v>
      </c>
      <c r="C43" s="20">
        <v>42191</v>
      </c>
      <c r="D43" s="21" t="s">
        <v>140</v>
      </c>
      <c r="E43" s="12">
        <v>42180</v>
      </c>
      <c r="F43" s="22" t="s">
        <v>138</v>
      </c>
      <c r="G43" s="14">
        <v>52.07</v>
      </c>
      <c r="H43" s="14"/>
      <c r="I43" s="14"/>
      <c r="J43" s="14"/>
      <c r="K43" s="14"/>
      <c r="L43" s="14"/>
      <c r="M43" s="14">
        <f t="shared" si="13"/>
        <v>52.07</v>
      </c>
    </row>
    <row r="44" spans="1:13" x14ac:dyDescent="0.3">
      <c r="A44" s="13" t="s">
        <v>90</v>
      </c>
      <c r="B44" s="12" t="s">
        <v>22</v>
      </c>
      <c r="C44" s="20">
        <v>42191</v>
      </c>
      <c r="D44" s="21" t="s">
        <v>141</v>
      </c>
      <c r="E44" s="12">
        <v>42178</v>
      </c>
      <c r="F44" s="22" t="s">
        <v>142</v>
      </c>
      <c r="G44" s="14">
        <v>52.65</v>
      </c>
      <c r="H44" s="14"/>
      <c r="I44" s="14"/>
      <c r="J44" s="14"/>
      <c r="K44" s="14"/>
      <c r="L44" s="14"/>
      <c r="M44" s="14">
        <f t="shared" si="13"/>
        <v>52.65</v>
      </c>
    </row>
    <row r="45" spans="1:13" x14ac:dyDescent="0.3">
      <c r="A45" s="13" t="s">
        <v>90</v>
      </c>
      <c r="B45" s="12" t="s">
        <v>22</v>
      </c>
      <c r="C45" s="20">
        <v>42191</v>
      </c>
      <c r="D45" s="21" t="s">
        <v>143</v>
      </c>
      <c r="E45" s="12">
        <v>42199</v>
      </c>
      <c r="F45" s="22" t="s">
        <v>91</v>
      </c>
      <c r="G45" s="14">
        <v>52.65</v>
      </c>
      <c r="H45" s="14"/>
      <c r="I45" s="14"/>
      <c r="J45" s="14"/>
      <c r="K45" s="14"/>
      <c r="L45" s="14"/>
      <c r="M45" s="14">
        <f t="shared" si="13"/>
        <v>52.65</v>
      </c>
    </row>
    <row r="46" spans="1:13" x14ac:dyDescent="0.3">
      <c r="A46" s="13" t="s">
        <v>90</v>
      </c>
      <c r="B46" s="12" t="s">
        <v>22</v>
      </c>
      <c r="C46" s="20">
        <v>42221</v>
      </c>
      <c r="D46" s="21" t="s">
        <v>126</v>
      </c>
      <c r="E46" s="12">
        <v>42243</v>
      </c>
      <c r="F46" s="22" t="s">
        <v>91</v>
      </c>
      <c r="G46" s="14">
        <v>52.07</v>
      </c>
      <c r="H46" s="14"/>
      <c r="I46" s="14"/>
      <c r="J46" s="14"/>
      <c r="K46" s="14"/>
      <c r="L46" s="14"/>
      <c r="M46" s="14">
        <f t="shared" si="13"/>
        <v>52.07</v>
      </c>
    </row>
    <row r="47" spans="1:13" x14ac:dyDescent="0.3">
      <c r="A47" s="13" t="s">
        <v>90</v>
      </c>
      <c r="B47" s="12" t="s">
        <v>22</v>
      </c>
      <c r="C47" s="20">
        <v>42221</v>
      </c>
      <c r="D47" s="21" t="s">
        <v>95</v>
      </c>
      <c r="E47" s="12">
        <v>42257</v>
      </c>
      <c r="F47" s="22" t="s">
        <v>91</v>
      </c>
      <c r="G47" s="14">
        <v>52.07</v>
      </c>
      <c r="H47" s="14"/>
      <c r="I47" s="14"/>
      <c r="J47" s="14"/>
      <c r="K47" s="14"/>
      <c r="L47" s="14"/>
      <c r="M47" s="14">
        <f t="shared" si="13"/>
        <v>52.07</v>
      </c>
    </row>
    <row r="48" spans="1:13" x14ac:dyDescent="0.3">
      <c r="A48" s="13" t="s">
        <v>90</v>
      </c>
      <c r="B48" s="12" t="s">
        <v>22</v>
      </c>
      <c r="C48" s="20">
        <v>42221</v>
      </c>
      <c r="D48" s="21" t="s">
        <v>124</v>
      </c>
      <c r="E48" s="12">
        <v>42263</v>
      </c>
      <c r="F48" s="22" t="s">
        <v>91</v>
      </c>
      <c r="G48" s="14">
        <v>52.07</v>
      </c>
      <c r="H48" s="14"/>
      <c r="I48" s="14"/>
      <c r="J48" s="14"/>
      <c r="K48" s="14"/>
      <c r="L48" s="14"/>
      <c r="M48" s="14">
        <f t="shared" si="13"/>
        <v>52.07</v>
      </c>
    </row>
    <row r="49" spans="1:17" x14ac:dyDescent="0.3">
      <c r="A49" s="13" t="s">
        <v>90</v>
      </c>
      <c r="B49" s="12" t="s">
        <v>22</v>
      </c>
      <c r="C49" s="20">
        <v>42221</v>
      </c>
      <c r="D49" s="21" t="s">
        <v>126</v>
      </c>
      <c r="E49" s="12">
        <v>42271</v>
      </c>
      <c r="F49" s="22" t="s">
        <v>91</v>
      </c>
      <c r="G49" s="14">
        <v>52.07</v>
      </c>
      <c r="H49" s="14"/>
      <c r="I49" s="14"/>
      <c r="J49" s="14"/>
      <c r="K49" s="14"/>
      <c r="L49" s="14"/>
      <c r="M49" s="14">
        <f t="shared" si="13"/>
        <v>52.07</v>
      </c>
    </row>
    <row r="50" spans="1:17" x14ac:dyDescent="0.3">
      <c r="A50" s="13" t="s">
        <v>90</v>
      </c>
      <c r="B50" s="12" t="s">
        <v>22</v>
      </c>
      <c r="C50" s="20">
        <v>42221</v>
      </c>
      <c r="D50" s="21" t="s">
        <v>144</v>
      </c>
      <c r="E50" s="12">
        <v>42235</v>
      </c>
      <c r="F50" s="22" t="s">
        <v>91</v>
      </c>
      <c r="G50" s="14">
        <v>52.65</v>
      </c>
      <c r="H50" s="14"/>
      <c r="I50" s="14"/>
      <c r="J50" s="14"/>
      <c r="K50" s="14"/>
      <c r="L50" s="14"/>
      <c r="M50" s="14">
        <f t="shared" si="13"/>
        <v>52.65</v>
      </c>
    </row>
    <row r="51" spans="1:17" x14ac:dyDescent="0.3">
      <c r="A51" s="13" t="s">
        <v>90</v>
      </c>
      <c r="B51" s="12" t="s">
        <v>22</v>
      </c>
      <c r="C51" s="20">
        <v>42254</v>
      </c>
      <c r="D51" s="21" t="s">
        <v>145</v>
      </c>
      <c r="E51" s="12">
        <v>42255</v>
      </c>
      <c r="F51" s="22" t="s">
        <v>91</v>
      </c>
      <c r="G51" s="14">
        <v>37.14</v>
      </c>
      <c r="H51" s="14"/>
      <c r="I51" s="14"/>
      <c r="J51" s="14"/>
      <c r="K51" s="14"/>
      <c r="L51" s="14"/>
      <c r="M51" s="14">
        <f t="shared" si="13"/>
        <v>37.14</v>
      </c>
    </row>
    <row r="52" spans="1:17" x14ac:dyDescent="0.3">
      <c r="A52" s="15" t="s">
        <v>93</v>
      </c>
      <c r="B52" s="16"/>
      <c r="C52" s="19"/>
      <c r="D52" s="18"/>
      <c r="E52" s="19"/>
      <c r="F52" s="16"/>
      <c r="G52" s="33">
        <f t="shared" ref="G52:M52" si="14">SUBTOTAL(9,G41:G51)</f>
        <v>566.31999999999994</v>
      </c>
      <c r="H52" s="33">
        <f t="shared" si="14"/>
        <v>0</v>
      </c>
      <c r="I52" s="33">
        <f t="shared" si="14"/>
        <v>0</v>
      </c>
      <c r="J52" s="33">
        <f t="shared" si="14"/>
        <v>0</v>
      </c>
      <c r="K52" s="33">
        <f t="shared" si="14"/>
        <v>0</v>
      </c>
      <c r="L52" s="33">
        <f t="shared" si="14"/>
        <v>0</v>
      </c>
      <c r="M52" s="33">
        <f t="shared" si="14"/>
        <v>566.31999999999994</v>
      </c>
    </row>
    <row r="53" spans="1:17" x14ac:dyDescent="0.3">
      <c r="A53" s="13" t="s">
        <v>19</v>
      </c>
      <c r="B53" s="13" t="s">
        <v>22</v>
      </c>
      <c r="C53" s="32">
        <v>42198</v>
      </c>
      <c r="D53" s="21" t="s">
        <v>124</v>
      </c>
      <c r="E53" s="20">
        <v>42193</v>
      </c>
      <c r="F53" s="22" t="s">
        <v>80</v>
      </c>
      <c r="G53" s="14"/>
      <c r="H53" s="14"/>
      <c r="I53" s="14">
        <v>66.599999999999994</v>
      </c>
      <c r="J53" s="14">
        <f>5.7</f>
        <v>5.7</v>
      </c>
      <c r="K53" s="14"/>
      <c r="L53" s="14"/>
      <c r="M53" s="14">
        <f>SUM(G53:L53)</f>
        <v>72.3</v>
      </c>
      <c r="Q53" s="53"/>
    </row>
    <row r="54" spans="1:17" x14ac:dyDescent="0.3">
      <c r="A54" s="13" t="s">
        <v>19</v>
      </c>
      <c r="B54" s="13" t="s">
        <v>22</v>
      </c>
      <c r="C54" s="32">
        <v>42198</v>
      </c>
      <c r="D54" s="21" t="s">
        <v>141</v>
      </c>
      <c r="E54" s="20">
        <v>42178</v>
      </c>
      <c r="F54" s="22" t="s">
        <v>80</v>
      </c>
      <c r="G54" s="14"/>
      <c r="H54" s="14"/>
      <c r="I54" s="14">
        <v>66.599999999999994</v>
      </c>
      <c r="J54" s="14">
        <v>5.7</v>
      </c>
      <c r="K54" s="14"/>
      <c r="L54" s="14"/>
      <c r="M54" s="14">
        <f t="shared" ref="M54:M57" si="15">SUM(G54:L54)</f>
        <v>72.3</v>
      </c>
      <c r="Q54" s="53"/>
    </row>
    <row r="55" spans="1:17" x14ac:dyDescent="0.3">
      <c r="A55" s="13" t="s">
        <v>19</v>
      </c>
      <c r="B55" s="13" t="s">
        <v>22</v>
      </c>
      <c r="C55" s="32">
        <v>42236</v>
      </c>
      <c r="D55" s="32" t="s">
        <v>146</v>
      </c>
      <c r="E55" s="20">
        <v>42233</v>
      </c>
      <c r="F55" s="22" t="s">
        <v>80</v>
      </c>
      <c r="G55" s="14"/>
      <c r="H55" s="14"/>
      <c r="I55" s="14">
        <v>66.599999999999994</v>
      </c>
      <c r="J55" s="14">
        <v>5.7</v>
      </c>
      <c r="K55" s="14"/>
      <c r="L55" s="14"/>
      <c r="M55" s="14">
        <f t="shared" si="15"/>
        <v>72.3</v>
      </c>
      <c r="Q55" s="53"/>
    </row>
    <row r="56" spans="1:17" x14ac:dyDescent="0.3">
      <c r="A56" s="15" t="s">
        <v>23</v>
      </c>
      <c r="B56" s="16"/>
      <c r="C56" s="17"/>
      <c r="D56" s="18"/>
      <c r="E56" s="19"/>
      <c r="F56" s="16"/>
      <c r="G56" s="33">
        <f t="shared" ref="G56:M56" si="16">SUBTOTAL(9,G53:G55)</f>
        <v>0</v>
      </c>
      <c r="H56" s="33">
        <f t="shared" si="16"/>
        <v>0</v>
      </c>
      <c r="I56" s="33">
        <f t="shared" si="16"/>
        <v>199.79999999999998</v>
      </c>
      <c r="J56" s="33">
        <f t="shared" si="16"/>
        <v>17.100000000000001</v>
      </c>
      <c r="K56" s="33">
        <f t="shared" si="16"/>
        <v>0</v>
      </c>
      <c r="L56" s="33">
        <f t="shared" si="16"/>
        <v>0</v>
      </c>
      <c r="M56" s="33">
        <f t="shared" si="16"/>
        <v>216.89999999999998</v>
      </c>
      <c r="Q56" s="53"/>
    </row>
    <row r="57" spans="1:17" x14ac:dyDescent="0.3">
      <c r="A57" s="13" t="s">
        <v>147</v>
      </c>
      <c r="B57" s="13" t="s">
        <v>22</v>
      </c>
      <c r="C57" s="20">
        <v>42192</v>
      </c>
      <c r="D57" s="21" t="s">
        <v>148</v>
      </c>
      <c r="E57" s="20">
        <v>42137</v>
      </c>
      <c r="F57" s="14" t="s">
        <v>70</v>
      </c>
      <c r="G57" s="14"/>
      <c r="H57" s="14"/>
      <c r="I57" s="14"/>
      <c r="J57" s="14">
        <v>23</v>
      </c>
      <c r="K57" s="14"/>
      <c r="L57" s="14"/>
      <c r="M57" s="14">
        <f t="shared" si="15"/>
        <v>23</v>
      </c>
    </row>
    <row r="58" spans="1:17" x14ac:dyDescent="0.3">
      <c r="A58" s="15" t="s">
        <v>96</v>
      </c>
      <c r="B58" s="16"/>
      <c r="C58" s="17"/>
      <c r="D58" s="18"/>
      <c r="E58" s="19"/>
      <c r="F58" s="16"/>
      <c r="G58" s="33">
        <f t="shared" ref="G58:M58" si="17">SUBTOTAL(9,G57:G57)</f>
        <v>0</v>
      </c>
      <c r="H58" s="33">
        <f t="shared" si="17"/>
        <v>0</v>
      </c>
      <c r="I58" s="33">
        <f t="shared" si="17"/>
        <v>0</v>
      </c>
      <c r="J58" s="33">
        <f t="shared" si="17"/>
        <v>23</v>
      </c>
      <c r="K58" s="33">
        <f t="shared" si="17"/>
        <v>0</v>
      </c>
      <c r="L58" s="33">
        <f t="shared" si="17"/>
        <v>0</v>
      </c>
      <c r="M58" s="33">
        <f t="shared" si="17"/>
        <v>23</v>
      </c>
    </row>
    <row r="59" spans="1:17" x14ac:dyDescent="0.3">
      <c r="A59" s="13" t="s">
        <v>43</v>
      </c>
      <c r="B59" s="13" t="s">
        <v>22</v>
      </c>
      <c r="C59" s="32">
        <v>42207</v>
      </c>
      <c r="D59" s="32" t="s">
        <v>124</v>
      </c>
      <c r="E59" s="20">
        <v>42193</v>
      </c>
      <c r="F59" s="14" t="s">
        <v>97</v>
      </c>
      <c r="G59" s="14"/>
      <c r="H59" s="14"/>
      <c r="I59" s="14">
        <v>105.5</v>
      </c>
      <c r="J59" s="14"/>
      <c r="K59" s="14"/>
      <c r="L59" s="14">
        <v>3</v>
      </c>
      <c r="M59" s="14">
        <f t="shared" ref="M59:M61" si="18">SUM(G59:L59)</f>
        <v>108.5</v>
      </c>
    </row>
    <row r="60" spans="1:17" x14ac:dyDescent="0.3">
      <c r="A60" s="13" t="s">
        <v>43</v>
      </c>
      <c r="B60" s="13" t="s">
        <v>22</v>
      </c>
      <c r="C60" s="20" t="s">
        <v>149</v>
      </c>
      <c r="D60" s="32" t="s">
        <v>126</v>
      </c>
      <c r="E60" s="20">
        <v>42215</v>
      </c>
      <c r="F60" s="14" t="s">
        <v>100</v>
      </c>
      <c r="G60" s="14"/>
      <c r="H60" s="14"/>
      <c r="I60" s="14">
        <v>34.200000000000003</v>
      </c>
      <c r="J60" s="14"/>
      <c r="K60" s="14">
        <v>161.26</v>
      </c>
      <c r="L60" s="14"/>
      <c r="M60" s="14">
        <f t="shared" si="18"/>
        <v>195.45999999999998</v>
      </c>
    </row>
    <row r="61" spans="1:17" x14ac:dyDescent="0.3">
      <c r="A61" s="13" t="s">
        <v>43</v>
      </c>
      <c r="B61" s="13" t="s">
        <v>22</v>
      </c>
      <c r="C61" s="32">
        <v>42261</v>
      </c>
      <c r="D61" s="32" t="s">
        <v>126</v>
      </c>
      <c r="E61" s="20">
        <v>42243</v>
      </c>
      <c r="F61" s="14" t="s">
        <v>97</v>
      </c>
      <c r="G61" s="14"/>
      <c r="H61" s="14"/>
      <c r="I61" s="14">
        <v>112.5</v>
      </c>
      <c r="J61" s="14"/>
      <c r="K61" s="14"/>
      <c r="L61" s="14"/>
      <c r="M61" s="14">
        <f t="shared" si="18"/>
        <v>112.5</v>
      </c>
    </row>
    <row r="62" spans="1:17" x14ac:dyDescent="0.3">
      <c r="A62" s="15" t="s">
        <v>25</v>
      </c>
      <c r="B62" s="16"/>
      <c r="C62" s="17"/>
      <c r="D62" s="18"/>
      <c r="E62" s="19"/>
      <c r="F62" s="16"/>
      <c r="G62" s="33">
        <f t="shared" ref="G62:M62" si="19">SUBTOTAL(9,G59:G61)</f>
        <v>0</v>
      </c>
      <c r="H62" s="33">
        <f t="shared" si="19"/>
        <v>0</v>
      </c>
      <c r="I62" s="33">
        <f t="shared" si="19"/>
        <v>252.2</v>
      </c>
      <c r="J62" s="33">
        <f t="shared" si="19"/>
        <v>0</v>
      </c>
      <c r="K62" s="33">
        <f t="shared" si="19"/>
        <v>161.26</v>
      </c>
      <c r="L62" s="33">
        <f t="shared" si="19"/>
        <v>3</v>
      </c>
      <c r="M62" s="33">
        <f t="shared" si="19"/>
        <v>416.46</v>
      </c>
    </row>
    <row r="63" spans="1:17" x14ac:dyDescent="0.3">
      <c r="A63" s="6" t="s">
        <v>26</v>
      </c>
      <c r="B63" s="7" t="s">
        <v>22</v>
      </c>
      <c r="C63" s="8"/>
      <c r="D63" s="9"/>
      <c r="E63" s="23"/>
      <c r="F63" s="7"/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</row>
    <row r="64" spans="1:17" x14ac:dyDescent="0.3">
      <c r="A64" s="6" t="s">
        <v>49</v>
      </c>
      <c r="B64" s="7" t="s">
        <v>22</v>
      </c>
      <c r="C64" s="8"/>
      <c r="D64" s="9"/>
      <c r="E64" s="23"/>
      <c r="F64" s="7"/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</row>
    <row r="65" spans="1:13" x14ac:dyDescent="0.3">
      <c r="A65" s="6" t="s">
        <v>24</v>
      </c>
      <c r="B65" s="7" t="s">
        <v>22</v>
      </c>
      <c r="C65" s="8"/>
      <c r="D65" s="9"/>
      <c r="E65" s="23"/>
      <c r="F65" s="7"/>
      <c r="G65" s="11"/>
      <c r="H65" s="11"/>
      <c r="I65" s="11"/>
      <c r="J65" s="11"/>
      <c r="K65" s="11"/>
      <c r="L65" s="11"/>
      <c r="M65" s="11"/>
    </row>
    <row r="66" spans="1:13" ht="17.25" thickBot="1" x14ac:dyDescent="0.35">
      <c r="A66" s="24"/>
      <c r="B66" s="24"/>
      <c r="C66" s="25"/>
      <c r="D66" s="24"/>
      <c r="E66" s="24"/>
      <c r="F66" s="26"/>
      <c r="G66" s="27">
        <f t="shared" ref="G66:M66" si="20">SUBTOTAL(9,G3:G65)</f>
        <v>1753.97</v>
      </c>
      <c r="H66" s="27">
        <f t="shared" si="20"/>
        <v>0</v>
      </c>
      <c r="I66" s="27">
        <f t="shared" si="20"/>
        <v>3473.38</v>
      </c>
      <c r="J66" s="27">
        <f t="shared" si="20"/>
        <v>281.60000000000002</v>
      </c>
      <c r="K66" s="27">
        <f t="shared" si="20"/>
        <v>931.99</v>
      </c>
      <c r="L66" s="27">
        <f t="shared" si="20"/>
        <v>130.1</v>
      </c>
      <c r="M66" s="27">
        <f t="shared" si="20"/>
        <v>6571.0399999999981</v>
      </c>
    </row>
    <row r="67" spans="1:13" ht="17.25" thickTop="1" x14ac:dyDescent="0.3">
      <c r="A67" s="38"/>
      <c r="B67" s="38"/>
      <c r="C67" s="40"/>
      <c r="D67" s="38"/>
      <c r="E67" s="38"/>
      <c r="F67" s="38"/>
      <c r="G67" s="41"/>
      <c r="H67" s="41"/>
      <c r="I67" s="41"/>
      <c r="J67" s="41"/>
      <c r="K67" s="41"/>
      <c r="L67" s="41"/>
      <c r="M67" s="41"/>
    </row>
    <row r="68" spans="1:13" x14ac:dyDescent="0.3">
      <c r="E68" s="52"/>
      <c r="F68" s="52"/>
    </row>
    <row r="69" spans="1:13" ht="17.25" thickBot="1" x14ac:dyDescent="0.35">
      <c r="A69" s="38"/>
      <c r="B69" s="38"/>
      <c r="C69" s="40"/>
      <c r="D69" s="38"/>
      <c r="E69" s="38"/>
      <c r="F69" s="38"/>
      <c r="G69" s="41"/>
      <c r="H69" s="41"/>
      <c r="I69" s="41"/>
      <c r="J69" s="41"/>
      <c r="K69" s="41"/>
      <c r="L69" s="41"/>
      <c r="M69" s="41"/>
    </row>
    <row r="70" spans="1:13" ht="17.25" thickBot="1" x14ac:dyDescent="0.35">
      <c r="A70" s="38"/>
      <c r="B70" s="38"/>
      <c r="C70" s="38"/>
      <c r="D70" s="38"/>
      <c r="E70" s="38"/>
      <c r="F70" s="34" t="s">
        <v>29</v>
      </c>
      <c r="G70" s="35"/>
      <c r="H70" s="35"/>
      <c r="I70" s="35"/>
      <c r="J70" s="35"/>
      <c r="K70" s="35"/>
      <c r="L70" s="35"/>
      <c r="M70" s="36"/>
    </row>
    <row r="71" spans="1:13" ht="39.75" x14ac:dyDescent="0.3">
      <c r="A71" s="38"/>
      <c r="B71" s="38"/>
      <c r="C71" s="38"/>
      <c r="D71" s="38"/>
      <c r="E71" s="38"/>
      <c r="F71" s="42"/>
      <c r="G71" s="43" t="s">
        <v>6</v>
      </c>
      <c r="H71" s="28" t="s">
        <v>30</v>
      </c>
      <c r="I71" s="28" t="s">
        <v>8</v>
      </c>
      <c r="J71" s="28" t="s">
        <v>9</v>
      </c>
      <c r="K71" s="28" t="s">
        <v>10</v>
      </c>
      <c r="L71" s="28" t="s">
        <v>11</v>
      </c>
      <c r="M71" s="29" t="s">
        <v>31</v>
      </c>
    </row>
    <row r="72" spans="1:13" x14ac:dyDescent="0.3">
      <c r="A72" s="38"/>
      <c r="B72" s="38"/>
      <c r="C72" s="39"/>
      <c r="D72" s="38"/>
      <c r="E72" s="38"/>
      <c r="F72" s="44" t="s">
        <v>32</v>
      </c>
      <c r="G72" s="30">
        <f>G66-G73</f>
        <v>1753.97</v>
      </c>
      <c r="H72" s="30">
        <f t="shared" ref="H72:M72" si="21">H66-H73</f>
        <v>0</v>
      </c>
      <c r="I72" s="30">
        <f t="shared" si="21"/>
        <v>3141.09</v>
      </c>
      <c r="J72" s="30">
        <f t="shared" si="21"/>
        <v>281.60000000000002</v>
      </c>
      <c r="K72" s="30">
        <f t="shared" si="21"/>
        <v>865.19</v>
      </c>
      <c r="L72" s="30">
        <f t="shared" si="21"/>
        <v>130.1</v>
      </c>
      <c r="M72" s="30">
        <f t="shared" si="21"/>
        <v>6171.949999999998</v>
      </c>
    </row>
    <row r="73" spans="1:13" x14ac:dyDescent="0.3">
      <c r="A73" s="38"/>
      <c r="B73" s="38"/>
      <c r="C73" s="39"/>
      <c r="D73" s="38"/>
      <c r="E73" s="38"/>
      <c r="F73" s="44" t="s">
        <v>33</v>
      </c>
      <c r="G73" s="30">
        <f t="shared" ref="G73:L73" si="22">G5</f>
        <v>0</v>
      </c>
      <c r="H73" s="30">
        <f t="shared" si="22"/>
        <v>0</v>
      </c>
      <c r="I73" s="30">
        <f t="shared" si="22"/>
        <v>332.28999999999996</v>
      </c>
      <c r="J73" s="30">
        <f t="shared" si="22"/>
        <v>0</v>
      </c>
      <c r="K73" s="30">
        <f t="shared" si="22"/>
        <v>66.8</v>
      </c>
      <c r="L73" s="30">
        <f t="shared" si="22"/>
        <v>0</v>
      </c>
      <c r="M73" s="30">
        <f>SUM(G73:L73)</f>
        <v>399.09</v>
      </c>
    </row>
    <row r="74" spans="1:13" x14ac:dyDescent="0.3">
      <c r="A74" s="38"/>
      <c r="B74" s="38"/>
      <c r="C74" s="39"/>
      <c r="D74" s="38"/>
      <c r="E74" s="38"/>
      <c r="F74" s="45" t="s">
        <v>34</v>
      </c>
      <c r="G74" s="37">
        <f>SUM(G72:G73)</f>
        <v>1753.97</v>
      </c>
      <c r="H74" s="37">
        <f t="shared" ref="H74:L74" si="23">SUM(H72:H73)</f>
        <v>0</v>
      </c>
      <c r="I74" s="37">
        <f t="shared" si="23"/>
        <v>3473.38</v>
      </c>
      <c r="J74" s="37">
        <f t="shared" si="23"/>
        <v>281.60000000000002</v>
      </c>
      <c r="K74" s="37">
        <f t="shared" si="23"/>
        <v>931.99</v>
      </c>
      <c r="L74" s="37">
        <f t="shared" si="23"/>
        <v>130.1</v>
      </c>
      <c r="M74" s="30">
        <f t="shared" ref="M74:M77" si="24">SUM(G74:L74)</f>
        <v>6571.0400000000009</v>
      </c>
    </row>
    <row r="75" spans="1:13" x14ac:dyDescent="0.3">
      <c r="A75" s="38"/>
      <c r="B75" s="38"/>
      <c r="C75" s="39"/>
      <c r="D75" s="38"/>
      <c r="E75" s="38"/>
      <c r="F75" s="44" t="s">
        <v>35</v>
      </c>
      <c r="G75" s="31" t="s">
        <v>38</v>
      </c>
      <c r="H75" s="31"/>
      <c r="I75" s="31" t="s">
        <v>38</v>
      </c>
      <c r="J75" s="31" t="s">
        <v>38</v>
      </c>
      <c r="K75" s="31" t="s">
        <v>38</v>
      </c>
      <c r="L75" s="31" t="s">
        <v>38</v>
      </c>
      <c r="M75" s="30">
        <f t="shared" si="24"/>
        <v>0</v>
      </c>
    </row>
    <row r="76" spans="1:13" x14ac:dyDescent="0.3">
      <c r="A76" s="38"/>
      <c r="B76" s="38"/>
      <c r="C76" s="39"/>
      <c r="D76" s="38"/>
      <c r="E76" s="38"/>
      <c r="F76" s="44" t="s">
        <v>47</v>
      </c>
      <c r="G76" s="31" t="s">
        <v>38</v>
      </c>
      <c r="H76" s="46"/>
      <c r="I76" s="31" t="s">
        <v>38</v>
      </c>
      <c r="J76" s="31" t="s">
        <v>38</v>
      </c>
      <c r="K76" s="31" t="s">
        <v>38</v>
      </c>
      <c r="L76" s="31" t="s">
        <v>38</v>
      </c>
      <c r="M76" s="30">
        <f t="shared" si="24"/>
        <v>0</v>
      </c>
    </row>
    <row r="77" spans="1:13" ht="17.25" thickBot="1" x14ac:dyDescent="0.35">
      <c r="A77" s="38"/>
      <c r="B77" s="38"/>
      <c r="C77" s="39"/>
      <c r="D77" s="38"/>
      <c r="E77" s="38"/>
      <c r="F77" s="47" t="s">
        <v>36</v>
      </c>
      <c r="G77" s="48">
        <f>SUM(G74:G76)</f>
        <v>1753.97</v>
      </c>
      <c r="H77" s="48">
        <f t="shared" ref="H77:L77" si="25">SUM(H74:H76)</f>
        <v>0</v>
      </c>
      <c r="I77" s="48">
        <f t="shared" si="25"/>
        <v>3473.38</v>
      </c>
      <c r="J77" s="48">
        <f t="shared" si="25"/>
        <v>281.60000000000002</v>
      </c>
      <c r="K77" s="48">
        <f t="shared" si="25"/>
        <v>931.99</v>
      </c>
      <c r="L77" s="48">
        <f t="shared" si="25"/>
        <v>130.1</v>
      </c>
      <c r="M77" s="50">
        <f t="shared" si="24"/>
        <v>6571.0400000000009</v>
      </c>
    </row>
    <row r="78" spans="1:13" x14ac:dyDescent="0.3">
      <c r="A78" s="38"/>
      <c r="B78" s="38"/>
      <c r="C78" s="38"/>
      <c r="D78" s="38"/>
      <c r="E78" s="38"/>
      <c r="F78" s="38"/>
      <c r="G78" s="41"/>
      <c r="H78" s="41"/>
      <c r="I78" s="41"/>
      <c r="J78" s="41"/>
      <c r="K78" s="41"/>
      <c r="L78" s="41"/>
      <c r="M78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="85" zoomScaleNormal="85" workbookViewId="0">
      <pane xSplit="1" ySplit="2" topLeftCell="C54" activePane="bottomRight" state="frozen"/>
      <selection pane="topRight" activeCell="B1" sqref="B1"/>
      <selection pane="bottomLeft" activeCell="A3" sqref="A3"/>
      <selection pane="bottomRight" activeCell="C75" sqref="C75"/>
    </sheetView>
  </sheetViews>
  <sheetFormatPr defaultRowHeight="16.5" x14ac:dyDescent="0.3"/>
  <cols>
    <col min="1" max="1" width="13.42578125" style="49" customWidth="1"/>
    <col min="2" max="2" width="29.85546875" style="49" bestFit="1" customWidth="1"/>
    <col min="3" max="3" width="23.7109375" style="49" bestFit="1" customWidth="1"/>
    <col min="4" max="4" width="19.5703125" style="49" customWidth="1"/>
    <col min="5" max="5" width="12.5703125" style="49" customWidth="1"/>
    <col min="6" max="6" width="20.85546875" style="49" customWidth="1"/>
    <col min="7" max="7" width="8.140625" style="49" customWidth="1"/>
    <col min="8" max="8" width="9.140625" style="49"/>
    <col min="9" max="9" width="10.7109375" style="49" customWidth="1"/>
    <col min="10" max="18" width="9.140625" style="49"/>
    <col min="19" max="19" width="17" style="49" customWidth="1"/>
    <col min="20" max="16384" width="9.140625" style="49"/>
  </cols>
  <sheetData>
    <row r="1" spans="1:13" ht="23.25" x14ac:dyDescent="0.35">
      <c r="A1" s="51" t="s">
        <v>150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"/>
      <c r="M1" s="1"/>
    </row>
    <row r="2" spans="1:13" ht="52.5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42</v>
      </c>
      <c r="K2" s="5" t="s">
        <v>10</v>
      </c>
      <c r="L2" s="5" t="s">
        <v>11</v>
      </c>
      <c r="M2" s="5" t="s">
        <v>12</v>
      </c>
    </row>
    <row r="3" spans="1:13" x14ac:dyDescent="0.3">
      <c r="A3" s="12" t="s">
        <v>13</v>
      </c>
      <c r="B3" s="12" t="s">
        <v>14</v>
      </c>
      <c r="C3" s="12">
        <v>42340</v>
      </c>
      <c r="D3" s="13" t="s">
        <v>151</v>
      </c>
      <c r="E3" s="12">
        <v>42342</v>
      </c>
      <c r="F3" s="13" t="s">
        <v>152</v>
      </c>
      <c r="G3" s="14"/>
      <c r="H3" s="14"/>
      <c r="I3" s="14">
        <v>271.05</v>
      </c>
      <c r="J3" s="14"/>
      <c r="K3" s="14"/>
      <c r="L3" s="14"/>
      <c r="M3" s="14">
        <f>SUM(G3:L3)</f>
        <v>271.05</v>
      </c>
    </row>
    <row r="4" spans="1:13" x14ac:dyDescent="0.3">
      <c r="A4" s="15" t="s">
        <v>15</v>
      </c>
      <c r="B4" s="16"/>
      <c r="C4" s="17"/>
      <c r="D4" s="18"/>
      <c r="E4" s="19"/>
      <c r="F4" s="16"/>
      <c r="G4" s="33">
        <f t="shared" ref="G4:M4" si="0">SUBTOTAL(9,G3:G3)</f>
        <v>0</v>
      </c>
      <c r="H4" s="33">
        <f t="shared" si="0"/>
        <v>0</v>
      </c>
      <c r="I4" s="33">
        <f t="shared" si="0"/>
        <v>271.05</v>
      </c>
      <c r="J4" s="33">
        <f t="shared" si="0"/>
        <v>0</v>
      </c>
      <c r="K4" s="33">
        <f t="shared" si="0"/>
        <v>0</v>
      </c>
      <c r="L4" s="33">
        <f t="shared" si="0"/>
        <v>0</v>
      </c>
      <c r="M4" s="33">
        <f t="shared" si="0"/>
        <v>271.05</v>
      </c>
    </row>
    <row r="5" spans="1:13" x14ac:dyDescent="0.3">
      <c r="A5" s="12" t="s">
        <v>54</v>
      </c>
      <c r="B5" s="12" t="s">
        <v>16</v>
      </c>
      <c r="C5" s="20">
        <v>42313</v>
      </c>
      <c r="D5" s="13" t="s">
        <v>115</v>
      </c>
      <c r="E5" s="20">
        <v>42290</v>
      </c>
      <c r="F5" s="13" t="s">
        <v>52</v>
      </c>
      <c r="G5" s="14"/>
      <c r="H5" s="14"/>
      <c r="I5" s="14">
        <v>102.52</v>
      </c>
      <c r="J5" s="14"/>
      <c r="K5" s="14"/>
      <c r="L5" s="14"/>
      <c r="M5" s="14">
        <f>SUM(G5:L5)</f>
        <v>102.52</v>
      </c>
    </row>
    <row r="6" spans="1:13" x14ac:dyDescent="0.3">
      <c r="A6" s="15" t="s">
        <v>17</v>
      </c>
      <c r="B6" s="16"/>
      <c r="C6" s="17"/>
      <c r="D6" s="18"/>
      <c r="E6" s="19"/>
      <c r="F6" s="16"/>
      <c r="G6" s="33">
        <f t="shared" ref="G6:M6" si="1">SUBTOTAL(9,G5:G5)</f>
        <v>0</v>
      </c>
      <c r="H6" s="33">
        <f t="shared" si="1"/>
        <v>0</v>
      </c>
      <c r="I6" s="33">
        <f t="shared" si="1"/>
        <v>102.52</v>
      </c>
      <c r="J6" s="33">
        <f t="shared" si="1"/>
        <v>0</v>
      </c>
      <c r="K6" s="33">
        <f t="shared" si="1"/>
        <v>0</v>
      </c>
      <c r="L6" s="33">
        <f t="shared" si="1"/>
        <v>0</v>
      </c>
      <c r="M6" s="33">
        <f t="shared" si="1"/>
        <v>102.52</v>
      </c>
    </row>
    <row r="7" spans="1:13" x14ac:dyDescent="0.3">
      <c r="A7" s="12" t="s">
        <v>44</v>
      </c>
      <c r="B7" s="12" t="s">
        <v>55</v>
      </c>
      <c r="C7" s="20">
        <v>42340</v>
      </c>
      <c r="D7" s="13" t="s">
        <v>153</v>
      </c>
      <c r="E7" s="20">
        <v>42340</v>
      </c>
      <c r="F7" s="22" t="s">
        <v>154</v>
      </c>
      <c r="G7" s="14"/>
      <c r="H7" s="14"/>
      <c r="I7" s="14">
        <v>193.95</v>
      </c>
      <c r="J7" s="14"/>
      <c r="K7" s="14"/>
      <c r="L7" s="14"/>
      <c r="M7" s="14">
        <f>SUM(G7:L7)</f>
        <v>193.95</v>
      </c>
    </row>
    <row r="8" spans="1:13" x14ac:dyDescent="0.3">
      <c r="A8" s="15" t="s">
        <v>45</v>
      </c>
      <c r="B8" s="16"/>
      <c r="C8" s="17"/>
      <c r="D8" s="18"/>
      <c r="E8" s="19"/>
      <c r="F8" s="16"/>
      <c r="G8" s="33">
        <f t="shared" ref="G8:M8" si="2">SUBTOTAL(9,G7:G7)</f>
        <v>0</v>
      </c>
      <c r="H8" s="33">
        <f t="shared" si="2"/>
        <v>0</v>
      </c>
      <c r="I8" s="33">
        <f t="shared" si="2"/>
        <v>193.95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193.95</v>
      </c>
    </row>
    <row r="9" spans="1:13" x14ac:dyDescent="0.3">
      <c r="A9" s="6" t="s">
        <v>40</v>
      </c>
      <c r="B9" s="7" t="s">
        <v>46</v>
      </c>
      <c r="C9" s="8"/>
      <c r="D9" s="9"/>
      <c r="E9" s="10"/>
      <c r="F9" s="7"/>
      <c r="G9" s="11">
        <v>0</v>
      </c>
      <c r="H9" s="11"/>
      <c r="I9" s="11"/>
      <c r="J9" s="11"/>
      <c r="K9" s="11"/>
      <c r="L9" s="11"/>
      <c r="M9" s="11">
        <f>SUBTOTAL(9,M8:M8)</f>
        <v>0</v>
      </c>
    </row>
    <row r="10" spans="1:13" x14ac:dyDescent="0.3">
      <c r="A10" s="12" t="s">
        <v>18</v>
      </c>
      <c r="B10" s="12" t="s">
        <v>37</v>
      </c>
      <c r="C10" s="12">
        <v>42278</v>
      </c>
      <c r="D10" s="13" t="s">
        <v>155</v>
      </c>
      <c r="E10" s="20">
        <v>42214</v>
      </c>
      <c r="F10" s="13" t="s">
        <v>57</v>
      </c>
      <c r="G10" s="14"/>
      <c r="H10" s="14"/>
      <c r="I10" s="14">
        <f>337.11</f>
        <v>337.11</v>
      </c>
      <c r="J10" s="14">
        <v>16</v>
      </c>
      <c r="K10" s="14">
        <f>12.7</f>
        <v>12.7</v>
      </c>
      <c r="L10" s="14"/>
      <c r="M10" s="14">
        <f t="shared" ref="M10:M21" si="3">SUM(G10:L10)</f>
        <v>365.81</v>
      </c>
    </row>
    <row r="11" spans="1:13" x14ac:dyDescent="0.3">
      <c r="A11" s="12" t="s">
        <v>18</v>
      </c>
      <c r="B11" s="12" t="s">
        <v>37</v>
      </c>
      <c r="C11" s="12">
        <v>42278</v>
      </c>
      <c r="D11" s="13" t="s">
        <v>156</v>
      </c>
      <c r="E11" s="20">
        <v>42286</v>
      </c>
      <c r="F11" s="13" t="s">
        <v>57</v>
      </c>
      <c r="G11" s="14"/>
      <c r="H11" s="14"/>
      <c r="I11" s="14">
        <v>337.11</v>
      </c>
      <c r="J11" s="14">
        <v>57</v>
      </c>
      <c r="K11" s="14">
        <v>35.700000000000003</v>
      </c>
      <c r="L11" s="14"/>
      <c r="M11" s="14">
        <f t="shared" si="3"/>
        <v>429.81</v>
      </c>
    </row>
    <row r="12" spans="1:13" x14ac:dyDescent="0.3">
      <c r="A12" s="12" t="s">
        <v>18</v>
      </c>
      <c r="B12" s="12" t="s">
        <v>37</v>
      </c>
      <c r="C12" s="20" t="s">
        <v>157</v>
      </c>
      <c r="D12" s="21" t="s">
        <v>124</v>
      </c>
      <c r="E12" s="20">
        <v>42263</v>
      </c>
      <c r="F12" s="13" t="s">
        <v>57</v>
      </c>
      <c r="G12" s="14"/>
      <c r="H12" s="14"/>
      <c r="I12" s="14">
        <v>337.11</v>
      </c>
      <c r="J12" s="14">
        <v>30</v>
      </c>
      <c r="K12" s="14">
        <f>9.2+191.54</f>
        <v>200.73999999999998</v>
      </c>
      <c r="L12" s="14"/>
      <c r="M12" s="14">
        <f t="shared" si="3"/>
        <v>567.85</v>
      </c>
    </row>
    <row r="13" spans="1:13" x14ac:dyDescent="0.3">
      <c r="A13" s="12" t="s">
        <v>18</v>
      </c>
      <c r="B13" s="12" t="s">
        <v>37</v>
      </c>
      <c r="C13" s="12">
        <v>42278</v>
      </c>
      <c r="D13" s="21" t="s">
        <v>158</v>
      </c>
      <c r="E13" s="20">
        <v>42270</v>
      </c>
      <c r="F13" s="13" t="s">
        <v>57</v>
      </c>
      <c r="G13" s="14"/>
      <c r="H13" s="14"/>
      <c r="I13" s="14">
        <v>337.11</v>
      </c>
      <c r="J13" s="14">
        <v>22</v>
      </c>
      <c r="K13" s="14">
        <v>4.95</v>
      </c>
      <c r="L13" s="14"/>
      <c r="M13" s="14">
        <f t="shared" si="3"/>
        <v>364.06</v>
      </c>
    </row>
    <row r="14" spans="1:13" x14ac:dyDescent="0.3">
      <c r="A14" s="13" t="s">
        <v>18</v>
      </c>
      <c r="B14" s="12" t="s">
        <v>37</v>
      </c>
      <c r="C14" s="20">
        <v>42292</v>
      </c>
      <c r="D14" s="21" t="s">
        <v>159</v>
      </c>
      <c r="E14" s="20">
        <v>42284</v>
      </c>
      <c r="F14" s="13" t="s">
        <v>57</v>
      </c>
      <c r="G14" s="14"/>
      <c r="H14" s="14"/>
      <c r="I14" s="14">
        <v>337.11</v>
      </c>
      <c r="J14" s="14">
        <v>35</v>
      </c>
      <c r="K14" s="14">
        <v>13</v>
      </c>
      <c r="L14" s="14"/>
      <c r="M14" s="14">
        <f t="shared" si="3"/>
        <v>385.11</v>
      </c>
    </row>
    <row r="15" spans="1:13" x14ac:dyDescent="0.3">
      <c r="A15" s="13" t="s">
        <v>18</v>
      </c>
      <c r="B15" s="12" t="s">
        <v>37</v>
      </c>
      <c r="C15" s="20" t="s">
        <v>160</v>
      </c>
      <c r="D15" s="21" t="s">
        <v>145</v>
      </c>
      <c r="E15" s="20">
        <v>42257</v>
      </c>
      <c r="F15" s="13" t="s">
        <v>57</v>
      </c>
      <c r="G15" s="14"/>
      <c r="H15" s="14"/>
      <c r="I15" s="14"/>
      <c r="J15" s="14">
        <v>7.4</v>
      </c>
      <c r="K15" s="14">
        <v>132.19</v>
      </c>
      <c r="L15" s="14"/>
      <c r="M15" s="14">
        <f t="shared" si="3"/>
        <v>139.59</v>
      </c>
    </row>
    <row r="16" spans="1:13" x14ac:dyDescent="0.3">
      <c r="A16" s="13" t="s">
        <v>18</v>
      </c>
      <c r="B16" s="12" t="s">
        <v>37</v>
      </c>
      <c r="C16" s="20">
        <v>42292</v>
      </c>
      <c r="D16" s="21" t="s">
        <v>161</v>
      </c>
      <c r="E16" s="20">
        <v>42276</v>
      </c>
      <c r="F16" s="13" t="s">
        <v>57</v>
      </c>
      <c r="G16" s="14"/>
      <c r="H16" s="14"/>
      <c r="I16" s="14">
        <f>337.11+17.9</f>
        <v>355.01</v>
      </c>
      <c r="J16" s="14">
        <v>16</v>
      </c>
      <c r="K16" s="14">
        <v>15.5</v>
      </c>
      <c r="L16" s="14">
        <v>12.99</v>
      </c>
      <c r="M16" s="14">
        <f t="shared" si="3"/>
        <v>399.5</v>
      </c>
    </row>
    <row r="17" spans="1:13" x14ac:dyDescent="0.3">
      <c r="A17" s="13" t="s">
        <v>18</v>
      </c>
      <c r="B17" s="12" t="s">
        <v>37</v>
      </c>
      <c r="C17" s="20">
        <v>42333</v>
      </c>
      <c r="D17" s="21" t="s">
        <v>159</v>
      </c>
      <c r="E17" s="20">
        <v>42291</v>
      </c>
      <c r="F17" s="13" t="s">
        <v>57</v>
      </c>
      <c r="G17" s="14"/>
      <c r="H17" s="14"/>
      <c r="I17" s="14">
        <v>337.11</v>
      </c>
      <c r="J17" s="14">
        <v>22</v>
      </c>
      <c r="K17" s="14">
        <v>4.3</v>
      </c>
      <c r="L17" s="14"/>
      <c r="M17" s="14">
        <f t="shared" si="3"/>
        <v>363.41</v>
      </c>
    </row>
    <row r="18" spans="1:13" x14ac:dyDescent="0.3">
      <c r="A18" s="13" t="s">
        <v>18</v>
      </c>
      <c r="B18" s="12" t="s">
        <v>37</v>
      </c>
      <c r="C18" s="20">
        <v>42333</v>
      </c>
      <c r="D18" s="21" t="s">
        <v>159</v>
      </c>
      <c r="E18" s="20">
        <v>42297</v>
      </c>
      <c r="F18" s="13" t="s">
        <v>57</v>
      </c>
      <c r="G18" s="14"/>
      <c r="H18" s="14"/>
      <c r="I18" s="14">
        <v>337.11</v>
      </c>
      <c r="J18" s="14">
        <v>21</v>
      </c>
      <c r="K18" s="14">
        <v>10.9</v>
      </c>
      <c r="L18" s="14"/>
      <c r="M18" s="14">
        <f t="shared" si="3"/>
        <v>369.01</v>
      </c>
    </row>
    <row r="19" spans="1:13" x14ac:dyDescent="0.3">
      <c r="A19" s="13" t="s">
        <v>18</v>
      </c>
      <c r="B19" s="12" t="s">
        <v>37</v>
      </c>
      <c r="C19" s="20" t="s">
        <v>162</v>
      </c>
      <c r="D19" s="21" t="s">
        <v>163</v>
      </c>
      <c r="E19" s="20" t="s">
        <v>164</v>
      </c>
      <c r="F19" s="13" t="s">
        <v>57</v>
      </c>
      <c r="G19" s="14"/>
      <c r="H19" s="14"/>
      <c r="I19" s="14">
        <v>210.68</v>
      </c>
      <c r="J19" s="14">
        <v>62.5</v>
      </c>
      <c r="K19" s="14">
        <v>148.29</v>
      </c>
      <c r="L19" s="14"/>
      <c r="M19" s="14">
        <f t="shared" si="3"/>
        <v>421.47</v>
      </c>
    </row>
    <row r="20" spans="1:13" x14ac:dyDescent="0.3">
      <c r="A20" s="13" t="s">
        <v>18</v>
      </c>
      <c r="B20" s="12" t="s">
        <v>37</v>
      </c>
      <c r="C20" s="20">
        <v>42333</v>
      </c>
      <c r="D20" s="21" t="s">
        <v>159</v>
      </c>
      <c r="E20" s="20">
        <v>42313</v>
      </c>
      <c r="F20" s="13" t="s">
        <v>57</v>
      </c>
      <c r="G20" s="14"/>
      <c r="H20" s="14"/>
      <c r="I20" s="14">
        <v>337.11</v>
      </c>
      <c r="J20" s="14">
        <v>16</v>
      </c>
      <c r="K20" s="14">
        <v>12.8</v>
      </c>
      <c r="L20" s="14"/>
      <c r="M20" s="14">
        <f t="shared" si="3"/>
        <v>365.91</v>
      </c>
    </row>
    <row r="21" spans="1:13" x14ac:dyDescent="0.3">
      <c r="A21" s="13" t="s">
        <v>18</v>
      </c>
      <c r="B21" s="12" t="s">
        <v>37</v>
      </c>
      <c r="C21" s="20">
        <v>42340</v>
      </c>
      <c r="D21" s="13" t="s">
        <v>151</v>
      </c>
      <c r="E21" s="20">
        <v>42342</v>
      </c>
      <c r="F21" s="13" t="s">
        <v>165</v>
      </c>
      <c r="G21" s="14"/>
      <c r="H21" s="14"/>
      <c r="I21" s="14">
        <v>144</v>
      </c>
      <c r="J21" s="14"/>
      <c r="K21" s="14"/>
      <c r="L21" s="14"/>
      <c r="M21" s="14">
        <f t="shared" si="3"/>
        <v>144</v>
      </c>
    </row>
    <row r="22" spans="1:13" x14ac:dyDescent="0.3">
      <c r="A22" s="15" t="s">
        <v>20</v>
      </c>
      <c r="B22" s="16"/>
      <c r="C22" s="17"/>
      <c r="D22" s="18"/>
      <c r="E22" s="19"/>
      <c r="F22" s="16"/>
      <c r="G22" s="33">
        <f>SUBTOTAL(9,G9:G21)</f>
        <v>0</v>
      </c>
      <c r="H22" s="33">
        <f t="shared" ref="H22:M22" si="4">SUBTOTAL(9,H10:H21)</f>
        <v>0</v>
      </c>
      <c r="I22" s="33">
        <f t="shared" si="4"/>
        <v>3406.57</v>
      </c>
      <c r="J22" s="33">
        <f t="shared" si="4"/>
        <v>304.89999999999998</v>
      </c>
      <c r="K22" s="33">
        <f t="shared" si="4"/>
        <v>591.06999999999994</v>
      </c>
      <c r="L22" s="33">
        <f t="shared" si="4"/>
        <v>12.99</v>
      </c>
      <c r="M22" s="33">
        <f t="shared" si="4"/>
        <v>4315.53</v>
      </c>
    </row>
    <row r="23" spans="1:13" ht="15.75" customHeight="1" x14ac:dyDescent="0.3">
      <c r="A23" s="12" t="s">
        <v>27</v>
      </c>
      <c r="B23" s="13" t="s">
        <v>22</v>
      </c>
      <c r="C23" s="20" t="s">
        <v>157</v>
      </c>
      <c r="D23" s="21" t="s">
        <v>126</v>
      </c>
      <c r="E23" s="20">
        <v>42271</v>
      </c>
      <c r="F23" s="13" t="s">
        <v>74</v>
      </c>
      <c r="G23" s="14"/>
      <c r="H23" s="14"/>
      <c r="I23" s="14">
        <v>4.8</v>
      </c>
      <c r="J23" s="14">
        <v>25</v>
      </c>
      <c r="K23" s="14">
        <f>11.2+134.2</f>
        <v>145.39999999999998</v>
      </c>
      <c r="L23" s="14"/>
      <c r="M23" s="14">
        <f>SUM(G23:L23)</f>
        <v>175.2</v>
      </c>
    </row>
    <row r="24" spans="1:13" ht="15.75" customHeight="1" x14ac:dyDescent="0.3">
      <c r="A24" s="12" t="s">
        <v>27</v>
      </c>
      <c r="B24" s="13" t="s">
        <v>22</v>
      </c>
      <c r="C24" s="20" t="s">
        <v>166</v>
      </c>
      <c r="D24" s="21" t="s">
        <v>126</v>
      </c>
      <c r="E24" s="20">
        <v>42672</v>
      </c>
      <c r="F24" s="13" t="s">
        <v>74</v>
      </c>
      <c r="G24" s="14"/>
      <c r="H24" s="14"/>
      <c r="I24" s="14">
        <v>9.6</v>
      </c>
      <c r="J24" s="14">
        <v>24</v>
      </c>
      <c r="K24" s="14">
        <f>11.2+148.29</f>
        <v>159.48999999999998</v>
      </c>
      <c r="L24" s="14"/>
      <c r="M24" s="14">
        <f>SUM(G24:L24)</f>
        <v>193.08999999999997</v>
      </c>
    </row>
    <row r="25" spans="1:13" x14ac:dyDescent="0.3">
      <c r="A25" s="12" t="s">
        <v>27</v>
      </c>
      <c r="B25" s="13" t="s">
        <v>22</v>
      </c>
      <c r="C25" s="20" t="s">
        <v>167</v>
      </c>
      <c r="D25" s="21" t="s">
        <v>126</v>
      </c>
      <c r="E25" s="20">
        <v>42335</v>
      </c>
      <c r="F25" s="13" t="s">
        <v>74</v>
      </c>
      <c r="G25" s="14">
        <v>133.26</v>
      </c>
      <c r="H25" s="14"/>
      <c r="I25" s="14">
        <v>4.8</v>
      </c>
      <c r="J25" s="14"/>
      <c r="K25" s="14">
        <f>23+148.29</f>
        <v>171.29</v>
      </c>
      <c r="L25" s="14"/>
      <c r="M25" s="14">
        <f t="shared" ref="M25:M26" si="5">SUM(G25:L25)</f>
        <v>309.35000000000002</v>
      </c>
    </row>
    <row r="26" spans="1:13" x14ac:dyDescent="0.3">
      <c r="A26" s="12" t="s">
        <v>27</v>
      </c>
      <c r="B26" s="13" t="s">
        <v>22</v>
      </c>
      <c r="C26" s="20" t="s">
        <v>168</v>
      </c>
      <c r="D26" s="21" t="s">
        <v>126</v>
      </c>
      <c r="E26" s="20">
        <v>42355</v>
      </c>
      <c r="F26" s="13" t="s">
        <v>74</v>
      </c>
      <c r="G26" s="14">
        <v>159.38999999999999</v>
      </c>
      <c r="H26" s="14"/>
      <c r="I26" s="14">
        <v>44.6</v>
      </c>
      <c r="J26" s="14">
        <v>24.5</v>
      </c>
      <c r="K26" s="14">
        <v>11.2</v>
      </c>
      <c r="L26" s="14"/>
      <c r="M26" s="14">
        <f t="shared" si="5"/>
        <v>239.68999999999997</v>
      </c>
    </row>
    <row r="27" spans="1:13" x14ac:dyDescent="0.3">
      <c r="A27" s="12" t="s">
        <v>27</v>
      </c>
      <c r="B27" s="13" t="s">
        <v>22</v>
      </c>
      <c r="C27" s="20">
        <v>42290</v>
      </c>
      <c r="D27" s="21" t="s">
        <v>124</v>
      </c>
      <c r="E27" s="20">
        <v>42262</v>
      </c>
      <c r="F27" s="13" t="s">
        <v>74</v>
      </c>
      <c r="G27" s="14"/>
      <c r="H27" s="14"/>
      <c r="I27" s="14"/>
      <c r="J27" s="14"/>
      <c r="K27" s="14">
        <v>140.24</v>
      </c>
      <c r="L27" s="14"/>
      <c r="M27" s="14">
        <f>SUM(G27:L27)</f>
        <v>140.24</v>
      </c>
    </row>
    <row r="28" spans="1:13" x14ac:dyDescent="0.3">
      <c r="A28" s="15" t="s">
        <v>28</v>
      </c>
      <c r="B28" s="16"/>
      <c r="C28" s="19"/>
      <c r="D28" s="18"/>
      <c r="E28" s="19"/>
      <c r="F28" s="16"/>
      <c r="G28" s="33">
        <f t="shared" ref="G28:M28" si="6">SUBTOTAL(9,G23:G27)</f>
        <v>292.64999999999998</v>
      </c>
      <c r="H28" s="33">
        <f t="shared" si="6"/>
        <v>0</v>
      </c>
      <c r="I28" s="33">
        <f t="shared" si="6"/>
        <v>63.8</v>
      </c>
      <c r="J28" s="33">
        <f t="shared" si="6"/>
        <v>73.5</v>
      </c>
      <c r="K28" s="33">
        <f t="shared" si="6"/>
        <v>627.61999999999989</v>
      </c>
      <c r="L28" s="33">
        <f t="shared" si="6"/>
        <v>0</v>
      </c>
      <c r="M28" s="33">
        <f t="shared" si="6"/>
        <v>1057.57</v>
      </c>
    </row>
    <row r="29" spans="1:13" x14ac:dyDescent="0.3">
      <c r="A29" s="6" t="s">
        <v>48</v>
      </c>
      <c r="B29" s="7" t="s">
        <v>22</v>
      </c>
      <c r="C29" s="8"/>
      <c r="D29" s="9"/>
      <c r="E29" s="10"/>
      <c r="F29" s="7"/>
      <c r="G29" s="11"/>
      <c r="H29" s="11"/>
      <c r="I29" s="11"/>
      <c r="J29" s="11"/>
      <c r="K29" s="11"/>
      <c r="L29" s="11"/>
      <c r="M29" s="11"/>
    </row>
    <row r="30" spans="1:13" x14ac:dyDescent="0.3">
      <c r="A30" s="13" t="s">
        <v>77</v>
      </c>
      <c r="B30" s="12" t="s">
        <v>22</v>
      </c>
      <c r="C30" s="20">
        <v>42340</v>
      </c>
      <c r="D30" s="21" t="s">
        <v>135</v>
      </c>
      <c r="E30" s="12">
        <v>42347</v>
      </c>
      <c r="F30" s="21" t="s">
        <v>80</v>
      </c>
      <c r="G30" s="14"/>
      <c r="H30" s="14"/>
      <c r="I30" s="14">
        <v>66.709999999999994</v>
      </c>
      <c r="J30" s="14"/>
      <c r="K30" s="14"/>
      <c r="L30" s="14"/>
      <c r="M30" s="14">
        <f>SUM(G30:L30)</f>
        <v>66.709999999999994</v>
      </c>
    </row>
    <row r="31" spans="1:13" x14ac:dyDescent="0.3">
      <c r="A31" s="13" t="s">
        <v>77</v>
      </c>
      <c r="B31" s="12" t="s">
        <v>22</v>
      </c>
      <c r="C31" s="20">
        <v>42340</v>
      </c>
      <c r="D31" s="21" t="s">
        <v>124</v>
      </c>
      <c r="E31" s="12">
        <v>42319</v>
      </c>
      <c r="F31" s="21" t="s">
        <v>80</v>
      </c>
      <c r="G31" s="14"/>
      <c r="H31" s="14"/>
      <c r="I31" s="14">
        <v>66.709999999999994</v>
      </c>
      <c r="J31" s="14"/>
      <c r="K31" s="14"/>
      <c r="L31" s="14"/>
      <c r="M31" s="14">
        <f>SUM(G31:L31)</f>
        <v>66.709999999999994</v>
      </c>
    </row>
    <row r="32" spans="1:13" x14ac:dyDescent="0.3">
      <c r="A32" s="15" t="s">
        <v>81</v>
      </c>
      <c r="B32" s="16"/>
      <c r="C32" s="19"/>
      <c r="D32" s="18"/>
      <c r="E32" s="19"/>
      <c r="F32" s="16"/>
      <c r="G32" s="33">
        <f t="shared" ref="G32:M32" si="7">SUBTOTAL(9,G30:G31)</f>
        <v>0</v>
      </c>
      <c r="H32" s="33">
        <f t="shared" si="7"/>
        <v>0</v>
      </c>
      <c r="I32" s="33">
        <f t="shared" si="7"/>
        <v>133.41999999999999</v>
      </c>
      <c r="J32" s="33">
        <f t="shared" si="7"/>
        <v>0</v>
      </c>
      <c r="K32" s="33">
        <f t="shared" si="7"/>
        <v>0</v>
      </c>
      <c r="L32" s="33">
        <f t="shared" si="7"/>
        <v>0</v>
      </c>
      <c r="M32" s="33">
        <f t="shared" si="7"/>
        <v>133.41999999999999</v>
      </c>
    </row>
    <row r="33" spans="1:13" x14ac:dyDescent="0.3">
      <c r="A33" s="13" t="s">
        <v>21</v>
      </c>
      <c r="B33" s="12" t="s">
        <v>22</v>
      </c>
      <c r="C33" s="20">
        <v>42340</v>
      </c>
      <c r="D33" s="21" t="s">
        <v>126</v>
      </c>
      <c r="E33" s="12">
        <v>42243</v>
      </c>
      <c r="F33" s="22" t="s">
        <v>136</v>
      </c>
      <c r="G33" s="14"/>
      <c r="H33" s="14"/>
      <c r="I33" s="14"/>
      <c r="J33" s="14">
        <v>6.3</v>
      </c>
      <c r="K33" s="14">
        <f>6.05-0.8</f>
        <v>5.25</v>
      </c>
      <c r="L33" s="14">
        <v>27.5</v>
      </c>
      <c r="M33" s="14">
        <f>SUM(G33:L33)</f>
        <v>39.049999999999997</v>
      </c>
    </row>
    <row r="34" spans="1:13" x14ac:dyDescent="0.3">
      <c r="A34" s="13" t="s">
        <v>21</v>
      </c>
      <c r="B34" s="12" t="s">
        <v>22</v>
      </c>
      <c r="C34" s="20" t="s">
        <v>169</v>
      </c>
      <c r="D34" s="21" t="s">
        <v>124</v>
      </c>
      <c r="E34" s="12">
        <v>42263</v>
      </c>
      <c r="F34" s="22" t="s">
        <v>136</v>
      </c>
      <c r="G34" s="14"/>
      <c r="H34" s="14"/>
      <c r="I34" s="14">
        <f>7.4+9.35</f>
        <v>16.75</v>
      </c>
      <c r="J34" s="14">
        <f>5.2+37.8</f>
        <v>43</v>
      </c>
      <c r="K34" s="14">
        <f>21.3+12+20.45+181.28</f>
        <v>235.03</v>
      </c>
      <c r="L34" s="14">
        <f>6.5+6+27.5</f>
        <v>40</v>
      </c>
      <c r="M34" s="14">
        <f t="shared" ref="M34:M40" si="8">SUM(G34:L34)</f>
        <v>334.78</v>
      </c>
    </row>
    <row r="35" spans="1:13" x14ac:dyDescent="0.3">
      <c r="A35" s="13" t="s">
        <v>21</v>
      </c>
      <c r="B35" s="12" t="s">
        <v>22</v>
      </c>
      <c r="C35" s="20">
        <v>42340</v>
      </c>
      <c r="D35" s="21" t="s">
        <v>170</v>
      </c>
      <c r="E35" s="12">
        <v>42298</v>
      </c>
      <c r="F35" s="22" t="s">
        <v>136</v>
      </c>
      <c r="G35" s="14"/>
      <c r="H35" s="14"/>
      <c r="I35" s="14">
        <f>2.3+2.3+1.8</f>
        <v>6.3999999999999995</v>
      </c>
      <c r="J35" s="14">
        <v>37.799999999999997</v>
      </c>
      <c r="K35" s="14">
        <v>24.75</v>
      </c>
      <c r="L35" s="14"/>
      <c r="M35" s="14">
        <f t="shared" si="8"/>
        <v>68.949999999999989</v>
      </c>
    </row>
    <row r="36" spans="1:13" x14ac:dyDescent="0.3">
      <c r="A36" s="13" t="s">
        <v>21</v>
      </c>
      <c r="B36" s="12" t="s">
        <v>22</v>
      </c>
      <c r="C36" s="20">
        <v>42340</v>
      </c>
      <c r="D36" s="21" t="s">
        <v>126</v>
      </c>
      <c r="E36" s="12">
        <v>42271</v>
      </c>
      <c r="F36" s="22" t="s">
        <v>136</v>
      </c>
      <c r="G36" s="14"/>
      <c r="H36" s="14"/>
      <c r="I36" s="14"/>
      <c r="J36" s="14">
        <v>6.3</v>
      </c>
      <c r="K36" s="14">
        <v>5.9</v>
      </c>
      <c r="L36" s="14">
        <v>27.5</v>
      </c>
      <c r="M36" s="14">
        <f t="shared" si="8"/>
        <v>39.700000000000003</v>
      </c>
    </row>
    <row r="37" spans="1:13" x14ac:dyDescent="0.3">
      <c r="A37" s="13" t="s">
        <v>21</v>
      </c>
      <c r="B37" s="12" t="s">
        <v>22</v>
      </c>
      <c r="C37" s="20" t="s">
        <v>171</v>
      </c>
      <c r="D37" s="21" t="s">
        <v>135</v>
      </c>
      <c r="E37" s="12">
        <v>42284</v>
      </c>
      <c r="F37" s="22" t="s">
        <v>136</v>
      </c>
      <c r="G37" s="14">
        <v>92.67</v>
      </c>
      <c r="H37" s="14"/>
      <c r="I37" s="14">
        <f>7.9</f>
        <v>7.9</v>
      </c>
      <c r="J37" s="14">
        <f>90.45+25</f>
        <v>115.45</v>
      </c>
      <c r="K37" s="14">
        <f>37.09+208.65</f>
        <v>245.74</v>
      </c>
      <c r="L37" s="14">
        <v>27.5</v>
      </c>
      <c r="M37" s="14">
        <f t="shared" si="8"/>
        <v>489.26</v>
      </c>
    </row>
    <row r="38" spans="1:13" x14ac:dyDescent="0.3">
      <c r="A38" s="13" t="s">
        <v>21</v>
      </c>
      <c r="B38" s="12" t="s">
        <v>22</v>
      </c>
      <c r="C38" s="20">
        <v>42340</v>
      </c>
      <c r="D38" s="21" t="s">
        <v>126</v>
      </c>
      <c r="E38" s="12">
        <v>42306</v>
      </c>
      <c r="F38" s="22" t="s">
        <v>136</v>
      </c>
      <c r="G38" s="14"/>
      <c r="H38" s="14"/>
      <c r="I38" s="14"/>
      <c r="J38" s="14">
        <v>6.3</v>
      </c>
      <c r="K38" s="14">
        <f>5.25</f>
        <v>5.25</v>
      </c>
      <c r="L38" s="14">
        <f>27.5</f>
        <v>27.5</v>
      </c>
      <c r="M38" s="14">
        <f t="shared" si="8"/>
        <v>39.049999999999997</v>
      </c>
    </row>
    <row r="39" spans="1:13" x14ac:dyDescent="0.3">
      <c r="A39" s="13" t="s">
        <v>21</v>
      </c>
      <c r="B39" s="12" t="s">
        <v>22</v>
      </c>
      <c r="C39" s="20">
        <v>42347</v>
      </c>
      <c r="D39" s="21" t="s">
        <v>126</v>
      </c>
      <c r="E39" s="12">
        <v>42215</v>
      </c>
      <c r="F39" s="22" t="s">
        <v>136</v>
      </c>
      <c r="G39" s="14"/>
      <c r="H39" s="14"/>
      <c r="I39" s="14"/>
      <c r="J39" s="14">
        <v>6.3</v>
      </c>
      <c r="K39" s="14">
        <v>6.05</v>
      </c>
      <c r="L39" s="14">
        <v>60</v>
      </c>
      <c r="M39" s="14">
        <f t="shared" si="8"/>
        <v>72.349999999999994</v>
      </c>
    </row>
    <row r="40" spans="1:13" x14ac:dyDescent="0.3">
      <c r="A40" s="13" t="s">
        <v>21</v>
      </c>
      <c r="B40" s="12" t="s">
        <v>22</v>
      </c>
      <c r="C40" s="20">
        <v>42340</v>
      </c>
      <c r="D40" s="21" t="s">
        <v>124</v>
      </c>
      <c r="E40" s="12">
        <v>42319</v>
      </c>
      <c r="F40" s="22" t="s">
        <v>136</v>
      </c>
      <c r="G40" s="14">
        <v>184.95</v>
      </c>
      <c r="H40" s="14"/>
      <c r="I40" s="14"/>
      <c r="J40" s="14"/>
      <c r="K40" s="14"/>
      <c r="L40" s="14"/>
      <c r="M40" s="14">
        <f t="shared" si="8"/>
        <v>184.95</v>
      </c>
    </row>
    <row r="41" spans="1:13" x14ac:dyDescent="0.3">
      <c r="A41" s="15" t="s">
        <v>39</v>
      </c>
      <c r="B41" s="16"/>
      <c r="C41" s="19"/>
      <c r="D41" s="18"/>
      <c r="E41" s="19"/>
      <c r="F41" s="16"/>
      <c r="G41" s="33">
        <f t="shared" ref="G41:M41" si="9">SUBTOTAL(9,G33:G40)</f>
        <v>277.62</v>
      </c>
      <c r="H41" s="33">
        <f t="shared" si="9"/>
        <v>0</v>
      </c>
      <c r="I41" s="33">
        <f t="shared" si="9"/>
        <v>31.049999999999997</v>
      </c>
      <c r="J41" s="33">
        <f t="shared" si="9"/>
        <v>221.45000000000002</v>
      </c>
      <c r="K41" s="33">
        <f t="shared" si="9"/>
        <v>527.96999999999991</v>
      </c>
      <c r="L41" s="33">
        <f t="shared" si="9"/>
        <v>210</v>
      </c>
      <c r="M41" s="33">
        <f t="shared" si="9"/>
        <v>1268.0899999999999</v>
      </c>
    </row>
    <row r="42" spans="1:13" x14ac:dyDescent="0.3">
      <c r="A42" s="12" t="s">
        <v>90</v>
      </c>
      <c r="B42" s="12" t="s">
        <v>22</v>
      </c>
      <c r="C42" s="20" t="s">
        <v>172</v>
      </c>
      <c r="D42" s="21" t="s">
        <v>170</v>
      </c>
      <c r="E42" s="12">
        <v>42298</v>
      </c>
      <c r="F42" s="22" t="s">
        <v>138</v>
      </c>
      <c r="G42" s="14"/>
      <c r="H42" s="14"/>
      <c r="I42" s="14">
        <f>27.88+43.78-21.12</f>
        <v>50.539999999999992</v>
      </c>
      <c r="J42" s="14"/>
      <c r="K42" s="14"/>
      <c r="L42" s="14"/>
      <c r="M42" s="14">
        <f t="shared" ref="M42:M48" si="10">SUM(G42:L42)</f>
        <v>50.539999999999992</v>
      </c>
    </row>
    <row r="43" spans="1:13" x14ac:dyDescent="0.3">
      <c r="A43" s="13" t="s">
        <v>90</v>
      </c>
      <c r="B43" s="12" t="s">
        <v>22</v>
      </c>
      <c r="C43" s="20">
        <v>42290</v>
      </c>
      <c r="D43" s="21" t="s">
        <v>126</v>
      </c>
      <c r="E43" s="12">
        <v>42306</v>
      </c>
      <c r="F43" s="22" t="s">
        <v>138</v>
      </c>
      <c r="G43" s="14"/>
      <c r="H43" s="14"/>
      <c r="I43" s="14">
        <v>52.65</v>
      </c>
      <c r="J43" s="14"/>
      <c r="K43" s="14"/>
      <c r="L43" s="14"/>
      <c r="M43" s="14">
        <f t="shared" si="10"/>
        <v>52.65</v>
      </c>
    </row>
    <row r="44" spans="1:13" x14ac:dyDescent="0.3">
      <c r="A44" s="13" t="s">
        <v>90</v>
      </c>
      <c r="B44" s="12" t="s">
        <v>22</v>
      </c>
      <c r="C44" s="20">
        <v>42290</v>
      </c>
      <c r="D44" s="21" t="s">
        <v>135</v>
      </c>
      <c r="E44" s="12">
        <v>42284</v>
      </c>
      <c r="F44" s="22" t="s">
        <v>138</v>
      </c>
      <c r="G44" s="14"/>
      <c r="H44" s="14"/>
      <c r="I44" s="14">
        <v>27.88</v>
      </c>
      <c r="J44" s="14"/>
      <c r="K44" s="14"/>
      <c r="L44" s="14"/>
      <c r="M44" s="14">
        <f t="shared" si="10"/>
        <v>27.88</v>
      </c>
    </row>
    <row r="45" spans="1:13" x14ac:dyDescent="0.3">
      <c r="A45" s="13" t="s">
        <v>90</v>
      </c>
      <c r="B45" s="12" t="s">
        <v>22</v>
      </c>
      <c r="C45" s="20">
        <v>42340</v>
      </c>
      <c r="D45" s="21" t="s">
        <v>95</v>
      </c>
      <c r="E45" s="12">
        <v>42313</v>
      </c>
      <c r="F45" s="22" t="s">
        <v>142</v>
      </c>
      <c r="G45" s="14"/>
      <c r="H45" s="14"/>
      <c r="I45" s="14">
        <v>52.07</v>
      </c>
      <c r="J45" s="14"/>
      <c r="K45" s="14"/>
      <c r="L45" s="14"/>
      <c r="M45" s="14">
        <f t="shared" si="10"/>
        <v>52.07</v>
      </c>
    </row>
    <row r="46" spans="1:13" x14ac:dyDescent="0.3">
      <c r="A46" s="13" t="s">
        <v>90</v>
      </c>
      <c r="B46" s="12" t="s">
        <v>22</v>
      </c>
      <c r="C46" s="20">
        <v>42340</v>
      </c>
      <c r="D46" s="21" t="s">
        <v>124</v>
      </c>
      <c r="E46" s="12">
        <v>42319</v>
      </c>
      <c r="F46" s="22" t="s">
        <v>91</v>
      </c>
      <c r="G46" s="14"/>
      <c r="H46" s="14"/>
      <c r="I46" s="14">
        <v>52.65</v>
      </c>
      <c r="J46" s="14"/>
      <c r="K46" s="14"/>
      <c r="L46" s="14"/>
      <c r="M46" s="14">
        <f t="shared" si="10"/>
        <v>52.65</v>
      </c>
    </row>
    <row r="47" spans="1:13" x14ac:dyDescent="0.3">
      <c r="A47" s="13" t="s">
        <v>90</v>
      </c>
      <c r="B47" s="12" t="s">
        <v>22</v>
      </c>
      <c r="C47" s="20">
        <v>42313</v>
      </c>
      <c r="D47" s="21" t="s">
        <v>95</v>
      </c>
      <c r="E47" s="12">
        <v>42257</v>
      </c>
      <c r="F47" s="22" t="s">
        <v>91</v>
      </c>
      <c r="G47" s="14">
        <f>-45.33</f>
        <v>-45.33</v>
      </c>
      <c r="H47" s="14"/>
      <c r="I47" s="14"/>
      <c r="J47" s="14"/>
      <c r="K47" s="14"/>
      <c r="L47" s="14"/>
      <c r="M47" s="14">
        <f t="shared" si="10"/>
        <v>-45.33</v>
      </c>
    </row>
    <row r="48" spans="1:13" x14ac:dyDescent="0.3">
      <c r="A48" s="13" t="s">
        <v>90</v>
      </c>
      <c r="B48" s="12" t="s">
        <v>22</v>
      </c>
      <c r="C48" s="20">
        <v>42290</v>
      </c>
      <c r="D48" s="21" t="s">
        <v>145</v>
      </c>
      <c r="E48" s="12">
        <v>42255</v>
      </c>
      <c r="F48" s="22" t="s">
        <v>91</v>
      </c>
      <c r="G48" s="14"/>
      <c r="H48" s="14"/>
      <c r="I48" s="14"/>
      <c r="J48" s="14"/>
      <c r="K48" s="14">
        <v>262.97000000000003</v>
      </c>
      <c r="L48" s="14"/>
      <c r="M48" s="14">
        <f t="shared" si="10"/>
        <v>262.97000000000003</v>
      </c>
    </row>
    <row r="49" spans="1:17" x14ac:dyDescent="0.3">
      <c r="A49" s="15" t="s">
        <v>93</v>
      </c>
      <c r="B49" s="16"/>
      <c r="C49" s="19"/>
      <c r="D49" s="18"/>
      <c r="E49" s="19"/>
      <c r="F49" s="16"/>
      <c r="G49" s="33">
        <f t="shared" ref="G49:M49" si="11">SUBTOTAL(9,G42:G48)</f>
        <v>-45.33</v>
      </c>
      <c r="H49" s="33">
        <f t="shared" si="11"/>
        <v>0</v>
      </c>
      <c r="I49" s="33">
        <f t="shared" si="11"/>
        <v>235.79</v>
      </c>
      <c r="J49" s="33">
        <f t="shared" si="11"/>
        <v>0</v>
      </c>
      <c r="K49" s="33">
        <f t="shared" si="11"/>
        <v>262.97000000000003</v>
      </c>
      <c r="L49" s="33">
        <f t="shared" si="11"/>
        <v>0</v>
      </c>
      <c r="M49" s="33">
        <f t="shared" si="11"/>
        <v>453.43</v>
      </c>
    </row>
    <row r="50" spans="1:17" x14ac:dyDescent="0.3">
      <c r="A50" s="13" t="s">
        <v>19</v>
      </c>
      <c r="B50" s="13" t="s">
        <v>22</v>
      </c>
      <c r="C50" s="32">
        <v>42278</v>
      </c>
      <c r="D50" s="21" t="s">
        <v>124</v>
      </c>
      <c r="E50" s="20">
        <v>42263</v>
      </c>
      <c r="F50" s="22" t="s">
        <v>173</v>
      </c>
      <c r="G50" s="14"/>
      <c r="H50" s="14"/>
      <c r="I50" s="14">
        <v>66.599999999999994</v>
      </c>
      <c r="J50" s="14">
        <v>5.7</v>
      </c>
      <c r="K50" s="14"/>
      <c r="L50" s="14"/>
      <c r="M50" s="14">
        <f>SUM(G50:L50)</f>
        <v>72.3</v>
      </c>
      <c r="Q50" s="53"/>
    </row>
    <row r="51" spans="1:17" x14ac:dyDescent="0.3">
      <c r="A51" s="13" t="s">
        <v>19</v>
      </c>
      <c r="B51" s="13" t="s">
        <v>22</v>
      </c>
      <c r="C51" s="20">
        <v>42310</v>
      </c>
      <c r="D51" s="21" t="s">
        <v>148</v>
      </c>
      <c r="E51" s="20">
        <v>42025</v>
      </c>
      <c r="F51" s="22" t="s">
        <v>173</v>
      </c>
      <c r="G51" s="14"/>
      <c r="H51" s="14"/>
      <c r="I51" s="14">
        <v>66.599999999999994</v>
      </c>
      <c r="J51" s="14">
        <v>5.7</v>
      </c>
      <c r="K51" s="14"/>
      <c r="L51" s="14"/>
      <c r="M51" s="14">
        <f t="shared" ref="M51:M52" si="12">SUM(G51:L51)</f>
        <v>72.3</v>
      </c>
      <c r="Q51" s="53"/>
    </row>
    <row r="52" spans="1:17" x14ac:dyDescent="0.3">
      <c r="A52" s="13" t="s">
        <v>19</v>
      </c>
      <c r="B52" s="13" t="s">
        <v>22</v>
      </c>
      <c r="C52" s="32">
        <v>42317</v>
      </c>
      <c r="D52" s="32" t="s">
        <v>95</v>
      </c>
      <c r="E52" s="20">
        <v>42313</v>
      </c>
      <c r="F52" s="22" t="s">
        <v>173</v>
      </c>
      <c r="G52" s="14"/>
      <c r="H52" s="14"/>
      <c r="I52" s="14">
        <v>66.599999999999994</v>
      </c>
      <c r="J52" s="14">
        <v>5.7</v>
      </c>
      <c r="K52" s="14"/>
      <c r="L52" s="14"/>
      <c r="M52" s="14">
        <f t="shared" si="12"/>
        <v>72.3</v>
      </c>
      <c r="Q52" s="53"/>
    </row>
    <row r="53" spans="1:17" x14ac:dyDescent="0.3">
      <c r="A53" s="15" t="s">
        <v>23</v>
      </c>
      <c r="B53" s="16"/>
      <c r="C53" s="17"/>
      <c r="D53" s="18"/>
      <c r="E53" s="19"/>
      <c r="F53" s="16"/>
      <c r="G53" s="33">
        <f t="shared" ref="G53:M53" si="13">SUBTOTAL(9,G50:G52)</f>
        <v>0</v>
      </c>
      <c r="H53" s="33">
        <f t="shared" si="13"/>
        <v>0</v>
      </c>
      <c r="I53" s="33">
        <f t="shared" si="13"/>
        <v>199.79999999999998</v>
      </c>
      <c r="J53" s="33">
        <f t="shared" si="13"/>
        <v>17.100000000000001</v>
      </c>
      <c r="K53" s="33">
        <f t="shared" si="13"/>
        <v>0</v>
      </c>
      <c r="L53" s="33">
        <f t="shared" si="13"/>
        <v>0</v>
      </c>
      <c r="M53" s="33">
        <f t="shared" si="13"/>
        <v>216.89999999999998</v>
      </c>
      <c r="Q53" s="53"/>
    </row>
    <row r="54" spans="1:17" x14ac:dyDescent="0.3">
      <c r="A54" s="6" t="s">
        <v>147</v>
      </c>
      <c r="B54" s="7"/>
      <c r="C54" s="8"/>
      <c r="D54" s="9"/>
      <c r="E54" s="23"/>
      <c r="F54" s="7"/>
      <c r="G54" s="11"/>
      <c r="H54" s="11"/>
      <c r="I54" s="11"/>
      <c r="J54" s="11"/>
      <c r="K54" s="11"/>
      <c r="L54" s="11"/>
      <c r="M54" s="11"/>
    </row>
    <row r="55" spans="1:17" x14ac:dyDescent="0.3">
      <c r="A55" s="13" t="s">
        <v>43</v>
      </c>
      <c r="B55" s="13" t="s">
        <v>22</v>
      </c>
      <c r="C55" s="32">
        <v>42282</v>
      </c>
      <c r="D55" s="21" t="s">
        <v>126</v>
      </c>
      <c r="E55" s="20">
        <v>42271</v>
      </c>
      <c r="F55" s="14" t="s">
        <v>174</v>
      </c>
      <c r="G55" s="14"/>
      <c r="H55" s="14"/>
      <c r="I55" s="14">
        <f>34.2+11.7</f>
        <v>45.900000000000006</v>
      </c>
      <c r="J55" s="14"/>
      <c r="K55" s="14">
        <f>27.5</f>
        <v>27.5</v>
      </c>
      <c r="L55" s="14"/>
      <c r="M55" s="14">
        <f t="shared" ref="M55:M64" si="14">SUM(G55:L55)</f>
        <v>73.400000000000006</v>
      </c>
    </row>
    <row r="56" spans="1:17" x14ac:dyDescent="0.3">
      <c r="A56" s="13" t="s">
        <v>43</v>
      </c>
      <c r="B56" s="13" t="s">
        <v>22</v>
      </c>
      <c r="C56" s="32">
        <v>42283</v>
      </c>
      <c r="D56" s="21" t="s">
        <v>124</v>
      </c>
      <c r="E56" s="20">
        <v>42263</v>
      </c>
      <c r="F56" s="14" t="s">
        <v>174</v>
      </c>
      <c r="G56" s="14"/>
      <c r="H56" s="14"/>
      <c r="I56" s="14">
        <v>108.5</v>
      </c>
      <c r="J56" s="14"/>
      <c r="K56" s="14"/>
      <c r="L56" s="14"/>
      <c r="M56" s="14">
        <f t="shared" si="14"/>
        <v>108.5</v>
      </c>
    </row>
    <row r="57" spans="1:17" x14ac:dyDescent="0.3">
      <c r="A57" s="13" t="s">
        <v>43</v>
      </c>
      <c r="B57" s="13" t="s">
        <v>22</v>
      </c>
      <c r="C57" s="20" t="s">
        <v>175</v>
      </c>
      <c r="D57" s="32" t="s">
        <v>148</v>
      </c>
      <c r="E57" s="20">
        <v>42298</v>
      </c>
      <c r="F57" s="14" t="s">
        <v>100</v>
      </c>
      <c r="G57" s="14"/>
      <c r="H57" s="14"/>
      <c r="I57" s="14">
        <v>59.6</v>
      </c>
      <c r="J57" s="14">
        <v>14.8</v>
      </c>
      <c r="K57" s="14">
        <v>132.19</v>
      </c>
      <c r="L57" s="14"/>
      <c r="M57" s="14">
        <f t="shared" si="14"/>
        <v>206.59</v>
      </c>
    </row>
    <row r="58" spans="1:17" x14ac:dyDescent="0.3">
      <c r="A58" s="13" t="s">
        <v>43</v>
      </c>
      <c r="B58" s="13" t="s">
        <v>22</v>
      </c>
      <c r="C58" s="20" t="s">
        <v>176</v>
      </c>
      <c r="D58" s="32" t="s">
        <v>126</v>
      </c>
      <c r="E58" s="20">
        <v>42334</v>
      </c>
      <c r="F58" s="14" t="s">
        <v>100</v>
      </c>
      <c r="G58" s="14"/>
      <c r="H58" s="14"/>
      <c r="I58" s="14">
        <v>34.200000000000003</v>
      </c>
      <c r="J58" s="14">
        <v>9</v>
      </c>
      <c r="K58" s="14">
        <v>181.48</v>
      </c>
      <c r="L58" s="14">
        <v>2.2999999999999998</v>
      </c>
      <c r="M58" s="14">
        <f t="shared" si="14"/>
        <v>226.98000000000002</v>
      </c>
    </row>
    <row r="59" spans="1:17" x14ac:dyDescent="0.3">
      <c r="A59" s="13" t="s">
        <v>43</v>
      </c>
      <c r="B59" s="13" t="s">
        <v>22</v>
      </c>
      <c r="C59" s="32">
        <v>42348</v>
      </c>
      <c r="D59" s="21" t="s">
        <v>124</v>
      </c>
      <c r="E59" s="20">
        <v>42319</v>
      </c>
      <c r="F59" s="14" t="s">
        <v>97</v>
      </c>
      <c r="G59" s="14"/>
      <c r="H59" s="14"/>
      <c r="I59" s="14">
        <v>105.5</v>
      </c>
      <c r="J59" s="14"/>
      <c r="K59" s="14"/>
      <c r="L59" s="14">
        <v>3.8</v>
      </c>
      <c r="M59" s="14">
        <f t="shared" si="14"/>
        <v>109.3</v>
      </c>
    </row>
    <row r="60" spans="1:17" x14ac:dyDescent="0.3">
      <c r="A60" s="15" t="s">
        <v>25</v>
      </c>
      <c r="B60" s="16"/>
      <c r="C60" s="17"/>
      <c r="D60" s="18"/>
      <c r="E60" s="19"/>
      <c r="F60" s="16"/>
      <c r="G60" s="33">
        <f t="shared" ref="G60:H60" si="15">SUBTOTAL(9,G55:G59)</f>
        <v>0</v>
      </c>
      <c r="H60" s="33">
        <f t="shared" si="15"/>
        <v>0</v>
      </c>
      <c r="I60" s="33">
        <f>SUBTOTAL(9,I55:I59)</f>
        <v>353.7</v>
      </c>
      <c r="J60" s="33">
        <f>SUBTOTAL(9,J55:J59)</f>
        <v>23.8</v>
      </c>
      <c r="K60" s="33">
        <f>SUBTOTAL(9,K55:K59)</f>
        <v>341.16999999999996</v>
      </c>
      <c r="L60" s="33">
        <f>SUBTOTAL(9,L55:L59)</f>
        <v>6.1</v>
      </c>
      <c r="M60" s="33">
        <f>SUBTOTAL(9,M55:M59)</f>
        <v>724.77</v>
      </c>
    </row>
    <row r="61" spans="1:17" x14ac:dyDescent="0.3">
      <c r="A61" s="13" t="s">
        <v>26</v>
      </c>
      <c r="B61" s="13" t="s">
        <v>22</v>
      </c>
      <c r="C61" s="32">
        <v>42293</v>
      </c>
      <c r="D61" s="21" t="s">
        <v>124</v>
      </c>
      <c r="E61" s="20">
        <v>42193</v>
      </c>
      <c r="F61" s="14" t="s">
        <v>104</v>
      </c>
      <c r="G61" s="14"/>
      <c r="H61" s="14"/>
      <c r="I61" s="14">
        <v>124</v>
      </c>
      <c r="J61" s="14"/>
      <c r="K61" s="14"/>
      <c r="L61" s="14"/>
      <c r="M61" s="14">
        <f t="shared" si="14"/>
        <v>124</v>
      </c>
    </row>
    <row r="62" spans="1:17" x14ac:dyDescent="0.3">
      <c r="A62" s="13" t="s">
        <v>26</v>
      </c>
      <c r="B62" s="13" t="s">
        <v>22</v>
      </c>
      <c r="C62" s="32">
        <v>42293</v>
      </c>
      <c r="D62" s="32" t="s">
        <v>95</v>
      </c>
      <c r="E62" s="20">
        <v>42257</v>
      </c>
      <c r="F62" s="14" t="s">
        <v>104</v>
      </c>
      <c r="G62" s="14"/>
      <c r="H62" s="14"/>
      <c r="I62" s="14">
        <v>124</v>
      </c>
      <c r="J62" s="14"/>
      <c r="K62" s="14"/>
      <c r="L62" s="14"/>
      <c r="M62" s="14">
        <f t="shared" si="14"/>
        <v>124</v>
      </c>
    </row>
    <row r="63" spans="1:17" x14ac:dyDescent="0.3">
      <c r="A63" s="13" t="s">
        <v>26</v>
      </c>
      <c r="B63" s="13" t="s">
        <v>22</v>
      </c>
      <c r="C63" s="32">
        <v>42293</v>
      </c>
      <c r="D63" s="32" t="s">
        <v>126</v>
      </c>
      <c r="E63" s="20">
        <v>42215</v>
      </c>
      <c r="F63" s="14" t="s">
        <v>104</v>
      </c>
      <c r="G63" s="14"/>
      <c r="H63" s="14"/>
      <c r="I63" s="14">
        <v>86.5</v>
      </c>
      <c r="J63" s="14"/>
      <c r="K63" s="14"/>
      <c r="L63" s="14"/>
      <c r="M63" s="14">
        <f t="shared" si="14"/>
        <v>86.5</v>
      </c>
    </row>
    <row r="64" spans="1:17" x14ac:dyDescent="0.3">
      <c r="A64" s="13" t="s">
        <v>26</v>
      </c>
      <c r="B64" s="13" t="s">
        <v>22</v>
      </c>
      <c r="C64" s="20" t="s">
        <v>177</v>
      </c>
      <c r="D64" s="21" t="s">
        <v>124</v>
      </c>
      <c r="E64" s="20">
        <v>42319</v>
      </c>
      <c r="F64" s="14" t="s">
        <v>104</v>
      </c>
      <c r="G64" s="14"/>
      <c r="H64" s="14"/>
      <c r="I64" s="14">
        <v>97.5</v>
      </c>
      <c r="J64" s="14"/>
      <c r="K64" s="14">
        <v>134.19999999999999</v>
      </c>
      <c r="L64" s="14"/>
      <c r="M64" s="14">
        <f t="shared" si="14"/>
        <v>231.7</v>
      </c>
    </row>
    <row r="65" spans="1:18" x14ac:dyDescent="0.3">
      <c r="A65" s="15" t="s">
        <v>41</v>
      </c>
      <c r="B65" s="16" t="s">
        <v>22</v>
      </c>
      <c r="C65" s="17"/>
      <c r="D65" s="18"/>
      <c r="E65" s="19"/>
      <c r="F65" s="16"/>
      <c r="G65" s="33">
        <f t="shared" ref="G65:M65" si="16">SUBTOTAL(9,G61:G64)</f>
        <v>0</v>
      </c>
      <c r="H65" s="33">
        <f t="shared" si="16"/>
        <v>0</v>
      </c>
      <c r="I65" s="33">
        <f t="shared" si="16"/>
        <v>432</v>
      </c>
      <c r="J65" s="33">
        <f t="shared" si="16"/>
        <v>0</v>
      </c>
      <c r="K65" s="33">
        <f t="shared" si="16"/>
        <v>134.19999999999999</v>
      </c>
      <c r="L65" s="33">
        <f t="shared" si="16"/>
        <v>0</v>
      </c>
      <c r="M65" s="33">
        <f t="shared" si="16"/>
        <v>566.20000000000005</v>
      </c>
    </row>
    <row r="66" spans="1:18" x14ac:dyDescent="0.3">
      <c r="A66" s="13" t="s">
        <v>49</v>
      </c>
      <c r="B66" s="13" t="s">
        <v>22</v>
      </c>
      <c r="C66" s="32">
        <v>42290</v>
      </c>
      <c r="D66" s="21" t="s">
        <v>124</v>
      </c>
      <c r="E66" s="20">
        <v>42193</v>
      </c>
      <c r="F66" s="14" t="s">
        <v>107</v>
      </c>
      <c r="G66" s="14"/>
      <c r="H66" s="14"/>
      <c r="I66" s="14">
        <v>276</v>
      </c>
      <c r="J66" s="14"/>
      <c r="K66" s="14"/>
      <c r="L66" s="14"/>
      <c r="M66" s="14">
        <f t="shared" ref="M66" si="17">SUM(G66:L66)</f>
        <v>276</v>
      </c>
    </row>
    <row r="67" spans="1:18" x14ac:dyDescent="0.3">
      <c r="A67" s="15" t="s">
        <v>50</v>
      </c>
      <c r="B67" s="16" t="s">
        <v>22</v>
      </c>
      <c r="C67" s="17"/>
      <c r="D67" s="18"/>
      <c r="E67" s="19"/>
      <c r="F67" s="16"/>
      <c r="G67" s="33">
        <f t="shared" ref="G67:M67" si="18">SUBTOTAL(9,G66:G66)</f>
        <v>0</v>
      </c>
      <c r="H67" s="33">
        <f t="shared" si="18"/>
        <v>0</v>
      </c>
      <c r="I67" s="33">
        <f t="shared" si="18"/>
        <v>276</v>
      </c>
      <c r="J67" s="33">
        <f t="shared" si="18"/>
        <v>0</v>
      </c>
      <c r="K67" s="33">
        <f t="shared" si="18"/>
        <v>0</v>
      </c>
      <c r="L67" s="33">
        <f t="shared" si="18"/>
        <v>0</v>
      </c>
      <c r="M67" s="33">
        <f t="shared" si="18"/>
        <v>276</v>
      </c>
    </row>
    <row r="68" spans="1:18" x14ac:dyDescent="0.3">
      <c r="A68" s="6" t="s">
        <v>24</v>
      </c>
      <c r="B68" s="7" t="s">
        <v>22</v>
      </c>
      <c r="C68" s="8"/>
      <c r="D68" s="9"/>
      <c r="E68" s="23"/>
      <c r="F68" s="7"/>
      <c r="G68" s="11"/>
      <c r="H68" s="11"/>
      <c r="I68" s="11"/>
      <c r="J68" s="11"/>
      <c r="K68" s="11"/>
      <c r="L68" s="11"/>
      <c r="M68" s="11"/>
    </row>
    <row r="69" spans="1:18" ht="17.25" thickBot="1" x14ac:dyDescent="0.35">
      <c r="A69" s="24"/>
      <c r="B69" s="24"/>
      <c r="C69" s="25"/>
      <c r="D69" s="24"/>
      <c r="E69" s="24"/>
      <c r="F69" s="26"/>
      <c r="G69" s="27">
        <f t="shared" ref="G69:M69" si="19">SUBTOTAL(9,G3:G68)</f>
        <v>524.93999999999994</v>
      </c>
      <c r="H69" s="27">
        <f t="shared" si="19"/>
        <v>0</v>
      </c>
      <c r="I69" s="27">
        <f t="shared" si="19"/>
        <v>5699.65</v>
      </c>
      <c r="J69" s="27">
        <f t="shared" si="19"/>
        <v>640.75</v>
      </c>
      <c r="K69" s="27">
        <f t="shared" si="19"/>
        <v>2485</v>
      </c>
      <c r="L69" s="27">
        <f t="shared" si="19"/>
        <v>229.09000000000003</v>
      </c>
      <c r="M69" s="27">
        <f t="shared" si="19"/>
        <v>9579.43</v>
      </c>
    </row>
    <row r="70" spans="1:18" ht="17.25" thickTop="1" x14ac:dyDescent="0.3">
      <c r="A70" s="38"/>
      <c r="B70" s="38"/>
      <c r="C70" s="40"/>
      <c r="D70" s="38"/>
      <c r="E70" s="38"/>
      <c r="F70" s="38"/>
      <c r="G70" s="41"/>
      <c r="H70" s="41"/>
      <c r="I70" s="41"/>
      <c r="J70" s="41"/>
      <c r="K70" s="41"/>
      <c r="L70" s="41"/>
      <c r="M70" s="41"/>
      <c r="R70" s="54"/>
    </row>
    <row r="71" spans="1:18" x14ac:dyDescent="0.3">
      <c r="E71" s="52"/>
      <c r="F71" s="52"/>
    </row>
    <row r="72" spans="1:18" ht="17.25" thickBot="1" x14ac:dyDescent="0.35">
      <c r="A72" s="38"/>
      <c r="B72" s="38"/>
      <c r="C72" s="40"/>
      <c r="D72" s="38"/>
      <c r="E72" s="38"/>
      <c r="F72" s="38"/>
      <c r="G72" s="41"/>
      <c r="H72" s="41"/>
      <c r="I72" s="41"/>
      <c r="J72" s="41"/>
      <c r="K72" s="41"/>
      <c r="L72" s="41"/>
      <c r="M72" s="41"/>
    </row>
    <row r="73" spans="1:18" ht="17.25" thickBot="1" x14ac:dyDescent="0.35">
      <c r="A73" s="38"/>
      <c r="B73" s="38"/>
      <c r="C73" s="38"/>
      <c r="D73" s="38"/>
      <c r="E73" s="38"/>
      <c r="F73" s="34" t="s">
        <v>29</v>
      </c>
      <c r="G73" s="35"/>
      <c r="H73" s="35"/>
      <c r="I73" s="35"/>
      <c r="J73" s="35"/>
      <c r="K73" s="35"/>
      <c r="L73" s="35"/>
      <c r="M73" s="36"/>
    </row>
    <row r="74" spans="1:18" ht="52.5" x14ac:dyDescent="0.3">
      <c r="A74" s="38"/>
      <c r="B74" s="38"/>
      <c r="C74" s="38"/>
      <c r="D74" s="38"/>
      <c r="E74" s="38"/>
      <c r="F74" s="42"/>
      <c r="G74" s="43" t="s">
        <v>6</v>
      </c>
      <c r="H74" s="28" t="s">
        <v>30</v>
      </c>
      <c r="I74" s="28" t="s">
        <v>8</v>
      </c>
      <c r="J74" s="28" t="s">
        <v>9</v>
      </c>
      <c r="K74" s="28" t="s">
        <v>10</v>
      </c>
      <c r="L74" s="28" t="s">
        <v>11</v>
      </c>
      <c r="M74" s="29" t="s">
        <v>31</v>
      </c>
    </row>
    <row r="75" spans="1:18" x14ac:dyDescent="0.3">
      <c r="A75" s="38"/>
      <c r="B75" s="38"/>
      <c r="C75" s="39"/>
      <c r="D75" s="38"/>
      <c r="E75" s="38"/>
      <c r="F75" s="44" t="s">
        <v>32</v>
      </c>
      <c r="G75" s="30">
        <f>G69-G76</f>
        <v>524.93999999999994</v>
      </c>
      <c r="H75" s="30">
        <f t="shared" ref="H75:M75" si="20">H69-H76</f>
        <v>0</v>
      </c>
      <c r="I75" s="30">
        <f t="shared" si="20"/>
        <v>5428.5999999999995</v>
      </c>
      <c r="J75" s="30">
        <f t="shared" si="20"/>
        <v>640.75</v>
      </c>
      <c r="K75" s="30">
        <f t="shared" si="20"/>
        <v>2485</v>
      </c>
      <c r="L75" s="30">
        <f t="shared" si="20"/>
        <v>229.09000000000003</v>
      </c>
      <c r="M75" s="30">
        <f t="shared" si="20"/>
        <v>9308.380000000001</v>
      </c>
    </row>
    <row r="76" spans="1:18" x14ac:dyDescent="0.3">
      <c r="A76" s="38"/>
      <c r="B76" s="38"/>
      <c r="C76" s="39"/>
      <c r="D76" s="38"/>
      <c r="E76" s="38"/>
      <c r="F76" s="44" t="s">
        <v>33</v>
      </c>
      <c r="G76" s="30">
        <f t="shared" ref="G76:L76" si="21">G4</f>
        <v>0</v>
      </c>
      <c r="H76" s="30">
        <f t="shared" si="21"/>
        <v>0</v>
      </c>
      <c r="I76" s="30">
        <f t="shared" si="21"/>
        <v>271.05</v>
      </c>
      <c r="J76" s="30">
        <f t="shared" si="21"/>
        <v>0</v>
      </c>
      <c r="K76" s="30">
        <f t="shared" si="21"/>
        <v>0</v>
      </c>
      <c r="L76" s="30">
        <f t="shared" si="21"/>
        <v>0</v>
      </c>
      <c r="M76" s="30">
        <f>SUM(G76:L76)</f>
        <v>271.05</v>
      </c>
    </row>
    <row r="77" spans="1:18" x14ac:dyDescent="0.3">
      <c r="A77" s="38"/>
      <c r="B77" s="38"/>
      <c r="C77" s="39"/>
      <c r="D77" s="38"/>
      <c r="E77" s="38"/>
      <c r="F77" s="45" t="s">
        <v>34</v>
      </c>
      <c r="G77" s="37">
        <f>SUM(G75:G76)</f>
        <v>524.93999999999994</v>
      </c>
      <c r="H77" s="37">
        <f t="shared" ref="H77:L77" si="22">SUM(H75:H76)</f>
        <v>0</v>
      </c>
      <c r="I77" s="37">
        <f t="shared" si="22"/>
        <v>5699.65</v>
      </c>
      <c r="J77" s="37">
        <f t="shared" si="22"/>
        <v>640.75</v>
      </c>
      <c r="K77" s="37">
        <f t="shared" si="22"/>
        <v>2485</v>
      </c>
      <c r="L77" s="37">
        <f t="shared" si="22"/>
        <v>229.09000000000003</v>
      </c>
      <c r="M77" s="30">
        <f t="shared" ref="M77:M80" si="23">SUM(G77:L77)</f>
        <v>9579.43</v>
      </c>
    </row>
    <row r="78" spans="1:18" x14ac:dyDescent="0.3">
      <c r="A78" s="38"/>
      <c r="B78" s="38"/>
      <c r="C78" s="39"/>
      <c r="D78" s="38"/>
      <c r="E78" s="38"/>
      <c r="F78" s="44" t="s">
        <v>35</v>
      </c>
      <c r="G78" s="31" t="s">
        <v>38</v>
      </c>
      <c r="H78" s="31"/>
      <c r="I78" s="31" t="s">
        <v>38</v>
      </c>
      <c r="J78" s="31" t="s">
        <v>38</v>
      </c>
      <c r="K78" s="31" t="s">
        <v>38</v>
      </c>
      <c r="L78" s="31" t="s">
        <v>38</v>
      </c>
      <c r="M78" s="30">
        <f t="shared" si="23"/>
        <v>0</v>
      </c>
    </row>
    <row r="79" spans="1:18" x14ac:dyDescent="0.3">
      <c r="A79" s="38"/>
      <c r="B79" s="38"/>
      <c r="C79" s="39"/>
      <c r="D79" s="38"/>
      <c r="E79" s="38"/>
      <c r="F79" s="44" t="s">
        <v>47</v>
      </c>
      <c r="G79" s="31" t="s">
        <v>38</v>
      </c>
      <c r="H79" s="46"/>
      <c r="I79" s="31" t="s">
        <v>38</v>
      </c>
      <c r="J79" s="31" t="s">
        <v>38</v>
      </c>
      <c r="K79" s="31" t="s">
        <v>38</v>
      </c>
      <c r="L79" s="31" t="s">
        <v>38</v>
      </c>
      <c r="M79" s="30">
        <f t="shared" si="23"/>
        <v>0</v>
      </c>
    </row>
    <row r="80" spans="1:18" ht="17.25" thickBot="1" x14ac:dyDescent="0.35">
      <c r="A80" s="38"/>
      <c r="B80" s="38"/>
      <c r="C80" s="39"/>
      <c r="D80" s="38"/>
      <c r="E80" s="38"/>
      <c r="F80" s="47" t="s">
        <v>36</v>
      </c>
      <c r="G80" s="48">
        <f>SUM(G77:G79)</f>
        <v>524.93999999999994</v>
      </c>
      <c r="H80" s="48">
        <f t="shared" ref="H80:L80" si="24">SUM(H77:H79)</f>
        <v>0</v>
      </c>
      <c r="I80" s="48">
        <f t="shared" si="24"/>
        <v>5699.65</v>
      </c>
      <c r="J80" s="48">
        <f t="shared" si="24"/>
        <v>640.75</v>
      </c>
      <c r="K80" s="48">
        <f t="shared" si="24"/>
        <v>2485</v>
      </c>
      <c r="L80" s="48">
        <f t="shared" si="24"/>
        <v>229.09000000000003</v>
      </c>
      <c r="M80" s="50">
        <f t="shared" si="23"/>
        <v>9579.43</v>
      </c>
    </row>
    <row r="81" spans="1:13" x14ac:dyDescent="0.3">
      <c r="A81" s="38"/>
      <c r="B81" s="38"/>
      <c r="C81" s="38"/>
      <c r="D81" s="38"/>
      <c r="E81" s="38"/>
      <c r="F81" s="38"/>
      <c r="G81" s="41"/>
      <c r="H81" s="41"/>
      <c r="I81" s="41"/>
      <c r="J81" s="41"/>
      <c r="K81" s="41"/>
      <c r="L81" s="41"/>
      <c r="M81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64" workbookViewId="0">
      <selection activeCell="N85" sqref="N85"/>
    </sheetView>
  </sheetViews>
  <sheetFormatPr defaultColWidth="9.140625" defaultRowHeight="16.5" x14ac:dyDescent="0.3"/>
  <cols>
    <col min="1" max="1" width="13.42578125" style="49" customWidth="1"/>
    <col min="2" max="2" width="29.85546875" style="49" customWidth="1"/>
    <col min="3" max="3" width="29.28515625" style="49" customWidth="1"/>
    <col min="4" max="4" width="19.5703125" style="49" customWidth="1"/>
    <col min="5" max="5" width="12.5703125" style="49" customWidth="1"/>
    <col min="6" max="6" width="20.85546875" style="49" customWidth="1"/>
    <col min="7" max="7" width="8.140625" style="49" customWidth="1"/>
    <col min="8" max="8" width="9.140625" style="49"/>
    <col min="9" max="9" width="10.7109375" style="49" customWidth="1"/>
    <col min="10" max="14" width="9.140625" style="49"/>
    <col min="15" max="15" width="10" style="49" bestFit="1" customWidth="1"/>
    <col min="16" max="18" width="9.140625" style="49"/>
    <col min="19" max="19" width="17" style="49" customWidth="1"/>
    <col min="20" max="16384" width="9.140625" style="49"/>
  </cols>
  <sheetData>
    <row r="1" spans="1:15" ht="23.25" x14ac:dyDescent="0.35">
      <c r="A1" s="55" t="s">
        <v>178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  <c r="M1" s="56"/>
    </row>
    <row r="2" spans="1:15" ht="52.5" x14ac:dyDescent="0.3">
      <c r="A2" s="57" t="s">
        <v>0</v>
      </c>
      <c r="B2" s="57" t="s">
        <v>1</v>
      </c>
      <c r="C2" s="58" t="s">
        <v>2</v>
      </c>
      <c r="D2" s="57" t="s">
        <v>3</v>
      </c>
      <c r="E2" s="57" t="s">
        <v>4</v>
      </c>
      <c r="F2" s="59" t="s">
        <v>5</v>
      </c>
      <c r="G2" s="60" t="s">
        <v>6</v>
      </c>
      <c r="H2" s="60" t="s">
        <v>7</v>
      </c>
      <c r="I2" s="60" t="s">
        <v>8</v>
      </c>
      <c r="J2" s="60" t="s">
        <v>42</v>
      </c>
      <c r="K2" s="60" t="s">
        <v>10</v>
      </c>
      <c r="L2" s="60" t="s">
        <v>11</v>
      </c>
      <c r="M2" s="60" t="s">
        <v>12</v>
      </c>
    </row>
    <row r="3" spans="1:15" x14ac:dyDescent="0.3">
      <c r="A3" s="61" t="s">
        <v>13</v>
      </c>
      <c r="B3" s="61" t="s">
        <v>14</v>
      </c>
      <c r="C3" s="61">
        <v>42376</v>
      </c>
      <c r="D3" s="62" t="s">
        <v>179</v>
      </c>
      <c r="E3" s="61">
        <v>42377</v>
      </c>
      <c r="F3" s="62" t="s">
        <v>152</v>
      </c>
      <c r="G3" s="63"/>
      <c r="H3" s="63"/>
      <c r="I3" s="63">
        <v>115</v>
      </c>
      <c r="J3" s="63"/>
      <c r="K3" s="63"/>
      <c r="L3" s="63"/>
      <c r="M3" s="63">
        <f>SUM(G3:L3)</f>
        <v>115</v>
      </c>
    </row>
    <row r="4" spans="1:15" x14ac:dyDescent="0.3">
      <c r="A4" s="61" t="s">
        <v>13</v>
      </c>
      <c r="B4" s="61" t="s">
        <v>14</v>
      </c>
      <c r="C4" s="61">
        <v>42405</v>
      </c>
      <c r="D4" s="62" t="s">
        <v>180</v>
      </c>
      <c r="E4" s="61">
        <v>42390</v>
      </c>
      <c r="F4" s="62" t="s">
        <v>181</v>
      </c>
      <c r="G4" s="63"/>
      <c r="H4" s="63"/>
      <c r="I4" s="63">
        <v>35.200000000000003</v>
      </c>
      <c r="J4" s="63"/>
      <c r="K4" s="63"/>
      <c r="L4" s="63"/>
      <c r="M4" s="63">
        <f t="shared" ref="M4:M5" si="0">SUM(G4:L4)</f>
        <v>35.200000000000003</v>
      </c>
    </row>
    <row r="5" spans="1:15" x14ac:dyDescent="0.3">
      <c r="A5" s="61" t="s">
        <v>13</v>
      </c>
      <c r="B5" s="61" t="s">
        <v>14</v>
      </c>
      <c r="C5" s="61">
        <v>42431</v>
      </c>
      <c r="D5" s="62" t="s">
        <v>182</v>
      </c>
      <c r="E5" s="61">
        <v>42431</v>
      </c>
      <c r="F5" s="62" t="s">
        <v>183</v>
      </c>
      <c r="G5" s="63"/>
      <c r="H5" s="63"/>
      <c r="I5" s="63">
        <v>35.200000000000003</v>
      </c>
      <c r="J5" s="63"/>
      <c r="K5" s="63"/>
      <c r="L5" s="63"/>
      <c r="M5" s="63">
        <f t="shared" si="0"/>
        <v>35.200000000000003</v>
      </c>
    </row>
    <row r="6" spans="1:15" x14ac:dyDescent="0.3">
      <c r="A6" s="64" t="s">
        <v>15</v>
      </c>
      <c r="B6" s="65"/>
      <c r="C6" s="66"/>
      <c r="D6" s="67"/>
      <c r="E6" s="68"/>
      <c r="F6" s="65"/>
      <c r="G6" s="69">
        <f>SUBTOTAL(9,G3:G5)</f>
        <v>0</v>
      </c>
      <c r="H6" s="69">
        <f t="shared" ref="H6:L6" si="1">SUBTOTAL(9,H3:H5)</f>
        <v>0</v>
      </c>
      <c r="I6" s="69">
        <f t="shared" si="1"/>
        <v>185.39999999999998</v>
      </c>
      <c r="J6" s="69">
        <f t="shared" si="1"/>
        <v>0</v>
      </c>
      <c r="K6" s="69">
        <f t="shared" si="1"/>
        <v>0</v>
      </c>
      <c r="L6" s="69">
        <f t="shared" si="1"/>
        <v>0</v>
      </c>
      <c r="M6" s="69">
        <f>SUBTOTAL(9,M3:M5)</f>
        <v>185.39999999999998</v>
      </c>
      <c r="O6" s="108"/>
    </row>
    <row r="7" spans="1:15" x14ac:dyDescent="0.3">
      <c r="A7" s="61" t="s">
        <v>54</v>
      </c>
      <c r="B7" s="61" t="s">
        <v>16</v>
      </c>
      <c r="C7" s="70" t="s">
        <v>184</v>
      </c>
      <c r="D7" s="62" t="s">
        <v>179</v>
      </c>
      <c r="E7" s="70">
        <v>42375</v>
      </c>
      <c r="F7" s="62" t="s">
        <v>152</v>
      </c>
      <c r="G7" s="63"/>
      <c r="H7" s="63"/>
      <c r="I7" s="63">
        <v>91</v>
      </c>
      <c r="J7" s="63"/>
      <c r="K7" s="63">
        <v>45.6</v>
      </c>
      <c r="L7" s="63"/>
      <c r="M7" s="63">
        <f>SUM(G7:L7)</f>
        <v>136.6</v>
      </c>
    </row>
    <row r="8" spans="1:15" x14ac:dyDescent="0.3">
      <c r="A8" s="61" t="s">
        <v>54</v>
      </c>
      <c r="B8" s="61" t="s">
        <v>16</v>
      </c>
      <c r="C8" s="61">
        <v>42405</v>
      </c>
      <c r="D8" s="62" t="s">
        <v>185</v>
      </c>
      <c r="E8" s="70">
        <v>42404</v>
      </c>
      <c r="F8" s="62" t="s">
        <v>186</v>
      </c>
      <c r="G8" s="63"/>
      <c r="H8" s="63">
        <v>108</v>
      </c>
      <c r="I8" s="63">
        <f>6.9+81+15.1</f>
        <v>103</v>
      </c>
      <c r="J8" s="63"/>
      <c r="K8" s="63">
        <v>75.599999999999994</v>
      </c>
      <c r="L8" s="63"/>
      <c r="M8" s="63">
        <f t="shared" ref="M8" si="2">SUM(G8:L8)</f>
        <v>286.60000000000002</v>
      </c>
    </row>
    <row r="9" spans="1:15" x14ac:dyDescent="0.3">
      <c r="A9" s="64" t="s">
        <v>17</v>
      </c>
      <c r="B9" s="65"/>
      <c r="C9" s="66"/>
      <c r="D9" s="67"/>
      <c r="E9" s="68"/>
      <c r="F9" s="65"/>
      <c r="G9" s="69">
        <f>SUBTOTAL(9,G7:G8)</f>
        <v>0</v>
      </c>
      <c r="H9" s="69">
        <f t="shared" ref="H9:L9" si="3">SUBTOTAL(9,H7:H8)</f>
        <v>108</v>
      </c>
      <c r="I9" s="69">
        <f t="shared" si="3"/>
        <v>194</v>
      </c>
      <c r="J9" s="69">
        <f t="shared" si="3"/>
        <v>0</v>
      </c>
      <c r="K9" s="69">
        <f>SUBTOTAL(9,K7:K8)</f>
        <v>121.19999999999999</v>
      </c>
      <c r="L9" s="69">
        <f t="shared" si="3"/>
        <v>0</v>
      </c>
      <c r="M9" s="69">
        <f>SUBTOTAL(9,M7:M8)</f>
        <v>423.20000000000005</v>
      </c>
      <c r="O9" s="108"/>
    </row>
    <row r="10" spans="1:15" x14ac:dyDescent="0.3">
      <c r="A10" s="61" t="s">
        <v>44</v>
      </c>
      <c r="B10" s="61" t="s">
        <v>55</v>
      </c>
      <c r="C10" s="70" t="s">
        <v>187</v>
      </c>
      <c r="D10" s="62" t="s">
        <v>179</v>
      </c>
      <c r="E10" s="70">
        <v>42376</v>
      </c>
      <c r="F10" s="71" t="s">
        <v>152</v>
      </c>
      <c r="G10" s="63"/>
      <c r="H10" s="63"/>
      <c r="I10" s="63">
        <v>130.30000000000001</v>
      </c>
      <c r="J10" s="63"/>
      <c r="K10" s="63">
        <v>45.6</v>
      </c>
      <c r="L10" s="63"/>
      <c r="M10" s="63">
        <f>SUM(G10:L10)</f>
        <v>175.9</v>
      </c>
    </row>
    <row r="11" spans="1:15" x14ac:dyDescent="0.3">
      <c r="A11" s="64" t="s">
        <v>45</v>
      </c>
      <c r="B11" s="65"/>
      <c r="C11" s="66"/>
      <c r="D11" s="67"/>
      <c r="E11" s="68"/>
      <c r="F11" s="65"/>
      <c r="G11" s="69">
        <f>SUBTOTAL(9,G10:G10)</f>
        <v>0</v>
      </c>
      <c r="H11" s="69">
        <f t="shared" ref="H11:K11" si="4">SUBTOTAL(9,H10:H10)</f>
        <v>0</v>
      </c>
      <c r="I11" s="69">
        <f t="shared" si="4"/>
        <v>130.30000000000001</v>
      </c>
      <c r="J11" s="69">
        <f t="shared" si="4"/>
        <v>0</v>
      </c>
      <c r="K11" s="69">
        <f t="shared" si="4"/>
        <v>45.6</v>
      </c>
      <c r="L11" s="69">
        <f>SUBTOTAL(9,L10:L10)</f>
        <v>0</v>
      </c>
      <c r="M11" s="69">
        <f>SUBTOTAL(9,M10:M10)</f>
        <v>175.9</v>
      </c>
      <c r="O11" s="108"/>
    </row>
    <row r="12" spans="1:15" x14ac:dyDescent="0.3">
      <c r="A12" s="72" t="s">
        <v>40</v>
      </c>
      <c r="B12" s="73" t="s">
        <v>188</v>
      </c>
      <c r="C12" s="74"/>
      <c r="D12" s="75"/>
      <c r="E12" s="76"/>
      <c r="F12" s="73"/>
      <c r="G12" s="77">
        <v>0</v>
      </c>
      <c r="H12" s="77"/>
      <c r="I12" s="77"/>
      <c r="J12" s="77"/>
      <c r="K12" s="77"/>
      <c r="L12" s="77"/>
      <c r="M12" s="77">
        <f>SUBTOTAL(9,M11:M11)</f>
        <v>0</v>
      </c>
    </row>
    <row r="13" spans="1:15" x14ac:dyDescent="0.3">
      <c r="A13" s="61" t="s">
        <v>18</v>
      </c>
      <c r="B13" s="61" t="s">
        <v>37</v>
      </c>
      <c r="C13" s="61">
        <v>42405</v>
      </c>
      <c r="D13" s="62" t="s">
        <v>56</v>
      </c>
      <c r="E13" s="70">
        <v>42332</v>
      </c>
      <c r="F13" s="62" t="s">
        <v>57</v>
      </c>
      <c r="G13" s="63"/>
      <c r="H13" s="63"/>
      <c r="I13" s="63">
        <v>337.11</v>
      </c>
      <c r="J13" s="63">
        <v>24</v>
      </c>
      <c r="K13" s="63">
        <v>12.05</v>
      </c>
      <c r="L13" s="63">
        <v>22.98</v>
      </c>
      <c r="M13" s="63">
        <f t="shared" ref="M13:M20" si="5">SUM(G13:L13)</f>
        <v>396.14000000000004</v>
      </c>
    </row>
    <row r="14" spans="1:15" x14ac:dyDescent="0.3">
      <c r="A14" s="61" t="s">
        <v>18</v>
      </c>
      <c r="B14" s="61" t="s">
        <v>37</v>
      </c>
      <c r="C14" s="61">
        <v>42405</v>
      </c>
      <c r="D14" s="62" t="s">
        <v>56</v>
      </c>
      <c r="E14" s="70">
        <v>42340</v>
      </c>
      <c r="F14" s="62" t="s">
        <v>57</v>
      </c>
      <c r="G14" s="63"/>
      <c r="H14" s="63"/>
      <c r="I14" s="63">
        <f>337.11+6.4</f>
        <v>343.51</v>
      </c>
      <c r="J14" s="63">
        <v>22</v>
      </c>
      <c r="K14" s="63">
        <v>6.05</v>
      </c>
      <c r="L14" s="63"/>
      <c r="M14" s="63">
        <f t="shared" si="5"/>
        <v>371.56</v>
      </c>
    </row>
    <row r="15" spans="1:15" x14ac:dyDescent="0.3">
      <c r="A15" s="61" t="s">
        <v>18</v>
      </c>
      <c r="B15" s="61" t="s">
        <v>37</v>
      </c>
      <c r="C15" s="70" t="s">
        <v>189</v>
      </c>
      <c r="D15" s="78" t="s">
        <v>56</v>
      </c>
      <c r="E15" s="70">
        <v>42346</v>
      </c>
      <c r="F15" s="62" t="s">
        <v>57</v>
      </c>
      <c r="G15" s="63"/>
      <c r="H15" s="63"/>
      <c r="I15" s="63">
        <f>337.11+2.3</f>
        <v>339.41</v>
      </c>
      <c r="J15" s="63">
        <v>29.5</v>
      </c>
      <c r="K15" s="63">
        <f>21.2+180.4</f>
        <v>201.6</v>
      </c>
      <c r="L15" s="63"/>
      <c r="M15" s="63">
        <f t="shared" si="5"/>
        <v>570.51</v>
      </c>
    </row>
    <row r="16" spans="1:15" x14ac:dyDescent="0.3">
      <c r="A16" s="61" t="s">
        <v>18</v>
      </c>
      <c r="B16" s="61" t="s">
        <v>37</v>
      </c>
      <c r="C16" s="61">
        <v>42405</v>
      </c>
      <c r="D16" s="78" t="s">
        <v>190</v>
      </c>
      <c r="E16" s="70">
        <v>42342</v>
      </c>
      <c r="F16" s="62" t="s">
        <v>165</v>
      </c>
      <c r="G16" s="63"/>
      <c r="H16" s="63"/>
      <c r="I16" s="63"/>
      <c r="J16" s="63">
        <v>17.5</v>
      </c>
      <c r="K16" s="63">
        <v>4.2</v>
      </c>
      <c r="L16" s="63"/>
      <c r="M16" s="63">
        <f t="shared" si="5"/>
        <v>21.7</v>
      </c>
    </row>
    <row r="17" spans="1:15" x14ac:dyDescent="0.3">
      <c r="A17" s="62" t="s">
        <v>18</v>
      </c>
      <c r="B17" s="61" t="s">
        <v>37</v>
      </c>
      <c r="C17" s="61">
        <v>42405</v>
      </c>
      <c r="D17" s="78" t="s">
        <v>191</v>
      </c>
      <c r="E17" s="70">
        <v>42353</v>
      </c>
      <c r="F17" s="62" t="s">
        <v>57</v>
      </c>
      <c r="G17" s="63"/>
      <c r="H17" s="63"/>
      <c r="I17" s="63">
        <v>210.68</v>
      </c>
      <c r="J17" s="63">
        <v>43</v>
      </c>
      <c r="K17" s="63">
        <v>12.78</v>
      </c>
      <c r="L17" s="63"/>
      <c r="M17" s="63">
        <f t="shared" si="5"/>
        <v>266.45999999999998</v>
      </c>
    </row>
    <row r="18" spans="1:15" x14ac:dyDescent="0.3">
      <c r="A18" s="62" t="s">
        <v>18</v>
      </c>
      <c r="B18" s="61" t="s">
        <v>37</v>
      </c>
      <c r="C18" s="61">
        <v>42405</v>
      </c>
      <c r="D18" s="78" t="s">
        <v>56</v>
      </c>
      <c r="E18" s="70">
        <v>42375</v>
      </c>
      <c r="F18" s="62" t="s">
        <v>57</v>
      </c>
      <c r="G18" s="63"/>
      <c r="H18" s="63"/>
      <c r="I18" s="63">
        <v>340.17</v>
      </c>
      <c r="J18" s="63">
        <v>39</v>
      </c>
      <c r="K18" s="63">
        <v>8.35</v>
      </c>
      <c r="L18" s="63"/>
      <c r="M18" s="63">
        <f t="shared" si="5"/>
        <v>387.52000000000004</v>
      </c>
    </row>
    <row r="19" spans="1:15" x14ac:dyDescent="0.3">
      <c r="A19" s="62" t="s">
        <v>18</v>
      </c>
      <c r="B19" s="61" t="s">
        <v>37</v>
      </c>
      <c r="C19" s="61">
        <v>42405</v>
      </c>
      <c r="D19" s="78" t="s">
        <v>56</v>
      </c>
      <c r="E19" s="70">
        <v>42381</v>
      </c>
      <c r="F19" s="62" t="s">
        <v>57</v>
      </c>
      <c r="G19" s="63"/>
      <c r="H19" s="63"/>
      <c r="I19" s="63">
        <v>340.17</v>
      </c>
      <c r="J19" s="63">
        <v>22</v>
      </c>
      <c r="K19" s="63">
        <v>10.4</v>
      </c>
      <c r="L19" s="63"/>
      <c r="M19" s="63">
        <f t="shared" si="5"/>
        <v>372.57</v>
      </c>
    </row>
    <row r="20" spans="1:15" x14ac:dyDescent="0.3">
      <c r="A20" s="62" t="s">
        <v>18</v>
      </c>
      <c r="B20" s="61" t="s">
        <v>37</v>
      </c>
      <c r="C20" s="61">
        <v>42405</v>
      </c>
      <c r="D20" s="78" t="s">
        <v>192</v>
      </c>
      <c r="E20" s="70">
        <v>42389</v>
      </c>
      <c r="F20" s="62" t="s">
        <v>193</v>
      </c>
      <c r="G20" s="63"/>
      <c r="H20" s="63"/>
      <c r="I20" s="63">
        <f>254.77+35.2</f>
        <v>289.97000000000003</v>
      </c>
      <c r="J20" s="63">
        <v>35</v>
      </c>
      <c r="K20" s="63">
        <f>36.68+290.6</f>
        <v>327.28000000000003</v>
      </c>
      <c r="L20" s="63"/>
      <c r="M20" s="63">
        <f t="shared" si="5"/>
        <v>652.25</v>
      </c>
    </row>
    <row r="21" spans="1:15" x14ac:dyDescent="0.3">
      <c r="A21" s="64" t="s">
        <v>20</v>
      </c>
      <c r="B21" s="65"/>
      <c r="C21" s="66"/>
      <c r="D21" s="67"/>
      <c r="E21" s="68"/>
      <c r="F21" s="65"/>
      <c r="G21" s="69">
        <f>SUBTOTAL(9,G13:G20)</f>
        <v>0</v>
      </c>
      <c r="H21" s="69">
        <f>SUBTOTAL(9,H13:H20)</f>
        <v>0</v>
      </c>
      <c r="I21" s="69">
        <f t="shared" ref="I21:K21" si="6">SUBTOTAL(9,I13:I20)</f>
        <v>2201.0200000000004</v>
      </c>
      <c r="J21" s="69">
        <f t="shared" si="6"/>
        <v>232</v>
      </c>
      <c r="K21" s="69">
        <f t="shared" si="6"/>
        <v>582.71</v>
      </c>
      <c r="L21" s="69">
        <f>SUBTOTAL(9,L13:L20)</f>
        <v>22.98</v>
      </c>
      <c r="M21" s="69">
        <f>SUBTOTAL(9,M13:M20)</f>
        <v>3038.71</v>
      </c>
      <c r="O21" s="108"/>
    </row>
    <row r="22" spans="1:15" ht="15.75" customHeight="1" x14ac:dyDescent="0.3">
      <c r="A22" s="61" t="s">
        <v>27</v>
      </c>
      <c r="B22" s="62" t="s">
        <v>22</v>
      </c>
      <c r="C22" s="70">
        <v>42376</v>
      </c>
      <c r="D22" s="78" t="s">
        <v>126</v>
      </c>
      <c r="E22" s="70">
        <v>42354</v>
      </c>
      <c r="F22" s="78" t="s">
        <v>194</v>
      </c>
      <c r="G22" s="63"/>
      <c r="H22" s="63"/>
      <c r="I22" s="63"/>
      <c r="J22" s="63"/>
      <c r="K22" s="63">
        <v>147.4</v>
      </c>
      <c r="L22" s="63"/>
      <c r="M22" s="63">
        <f>SUM(G22:L22)</f>
        <v>147.4</v>
      </c>
    </row>
    <row r="23" spans="1:15" ht="15.75" customHeight="1" x14ac:dyDescent="0.3">
      <c r="A23" s="61" t="s">
        <v>27</v>
      </c>
      <c r="B23" s="62" t="s">
        <v>22</v>
      </c>
      <c r="C23" s="70" t="s">
        <v>195</v>
      </c>
      <c r="D23" s="78" t="s">
        <v>124</v>
      </c>
      <c r="E23" s="70">
        <v>42389</v>
      </c>
      <c r="F23" s="78" t="s">
        <v>74</v>
      </c>
      <c r="G23" s="63">
        <f>121.64+107.97</f>
        <v>229.61</v>
      </c>
      <c r="H23" s="63"/>
      <c r="I23" s="63">
        <v>45.8</v>
      </c>
      <c r="J23" s="63">
        <v>21</v>
      </c>
      <c r="K23" s="63">
        <f>13.9+145.6</f>
        <v>159.5</v>
      </c>
      <c r="L23" s="63"/>
      <c r="M23" s="63">
        <f>SUM(G23:L23)</f>
        <v>455.91</v>
      </c>
    </row>
    <row r="24" spans="1:15" ht="15.75" customHeight="1" x14ac:dyDescent="0.3">
      <c r="A24" s="61" t="s">
        <v>27</v>
      </c>
      <c r="B24" s="62" t="s">
        <v>22</v>
      </c>
      <c r="C24" s="70" t="s">
        <v>196</v>
      </c>
      <c r="D24" s="78" t="s">
        <v>126</v>
      </c>
      <c r="E24" s="70">
        <v>42397</v>
      </c>
      <c r="F24" s="78" t="s">
        <v>74</v>
      </c>
      <c r="G24" s="63">
        <v>216.93</v>
      </c>
      <c r="H24" s="63"/>
      <c r="I24" s="63">
        <v>34.200000000000003</v>
      </c>
      <c r="J24" s="63">
        <v>30</v>
      </c>
      <c r="K24" s="63">
        <f>13.2+146.6</f>
        <v>159.79999999999998</v>
      </c>
      <c r="L24" s="63"/>
      <c r="M24" s="63">
        <f>SUM(G24:L24)</f>
        <v>440.92999999999995</v>
      </c>
    </row>
    <row r="25" spans="1:15" x14ac:dyDescent="0.3">
      <c r="A25" s="61" t="s">
        <v>27</v>
      </c>
      <c r="B25" s="62" t="s">
        <v>22</v>
      </c>
      <c r="C25" s="70" t="s">
        <v>197</v>
      </c>
      <c r="D25" s="78" t="s">
        <v>124</v>
      </c>
      <c r="E25" s="70">
        <v>42438</v>
      </c>
      <c r="F25" s="78" t="s">
        <v>74</v>
      </c>
      <c r="G25" s="63">
        <v>106.64</v>
      </c>
      <c r="H25" s="63"/>
      <c r="I25" s="63">
        <v>32.799999999999997</v>
      </c>
      <c r="J25" s="63">
        <v>22.5</v>
      </c>
      <c r="K25" s="63">
        <v>26.2</v>
      </c>
      <c r="L25" s="63"/>
      <c r="M25" s="63">
        <f>SUM(G25:L25)</f>
        <v>188.14</v>
      </c>
    </row>
    <row r="26" spans="1:15" x14ac:dyDescent="0.3">
      <c r="A26" s="61" t="s">
        <v>27</v>
      </c>
      <c r="B26" s="62" t="s">
        <v>22</v>
      </c>
      <c r="C26" s="70" t="s">
        <v>198</v>
      </c>
      <c r="D26" s="78" t="s">
        <v>126</v>
      </c>
      <c r="E26" s="70">
        <v>42425</v>
      </c>
      <c r="F26" s="78" t="s">
        <v>74</v>
      </c>
      <c r="G26" s="63">
        <v>156.63999999999999</v>
      </c>
      <c r="H26" s="63"/>
      <c r="I26" s="63">
        <v>45.8</v>
      </c>
      <c r="J26" s="63">
        <v>25</v>
      </c>
      <c r="K26" s="63">
        <f>6.45+159.6</f>
        <v>166.04999999999998</v>
      </c>
      <c r="L26" s="63"/>
      <c r="M26" s="63">
        <f>SUM(G26:L26)</f>
        <v>393.49</v>
      </c>
    </row>
    <row r="27" spans="1:15" x14ac:dyDescent="0.3">
      <c r="A27" s="64" t="s">
        <v>28</v>
      </c>
      <c r="B27" s="65"/>
      <c r="C27" s="68"/>
      <c r="D27" s="67"/>
      <c r="E27" s="68"/>
      <c r="F27" s="65"/>
      <c r="G27" s="69">
        <f>SUBTOTAL(9,G22:G26)</f>
        <v>709.82</v>
      </c>
      <c r="H27" s="69">
        <f t="shared" ref="H27:L27" si="7">SUBTOTAL(9,H22:H26)</f>
        <v>0</v>
      </c>
      <c r="I27" s="69">
        <f t="shared" si="7"/>
        <v>158.6</v>
      </c>
      <c r="J27" s="69">
        <f t="shared" si="7"/>
        <v>98.5</v>
      </c>
      <c r="K27" s="69">
        <f t="shared" si="7"/>
        <v>658.94999999999993</v>
      </c>
      <c r="L27" s="69">
        <f t="shared" si="7"/>
        <v>0</v>
      </c>
      <c r="M27" s="69">
        <f>SUBTOTAL(9,M22:M26)</f>
        <v>1625.8700000000001</v>
      </c>
      <c r="O27" s="108"/>
    </row>
    <row r="28" spans="1:15" x14ac:dyDescent="0.3">
      <c r="A28" s="72" t="s">
        <v>48</v>
      </c>
      <c r="B28" s="73" t="s">
        <v>22</v>
      </c>
      <c r="C28" s="74"/>
      <c r="D28" s="75"/>
      <c r="E28" s="76"/>
      <c r="F28" s="73"/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</row>
    <row r="29" spans="1:15" x14ac:dyDescent="0.3">
      <c r="A29" s="62" t="s">
        <v>77</v>
      </c>
      <c r="B29" s="61" t="s">
        <v>22</v>
      </c>
      <c r="C29" s="70">
        <v>42373</v>
      </c>
      <c r="D29" s="78" t="s">
        <v>124</v>
      </c>
      <c r="E29" s="61">
        <v>42319</v>
      </c>
      <c r="F29" s="78" t="s">
        <v>80</v>
      </c>
      <c r="G29" s="63"/>
      <c r="H29" s="63"/>
      <c r="I29" s="63"/>
      <c r="J29" s="63">
        <f>12.4+21.6</f>
        <v>34</v>
      </c>
      <c r="K29" s="63"/>
      <c r="L29" s="63"/>
      <c r="M29" s="63">
        <f>SUM(G29:L29)</f>
        <v>34</v>
      </c>
    </row>
    <row r="30" spans="1:15" x14ac:dyDescent="0.3">
      <c r="A30" s="62" t="s">
        <v>77</v>
      </c>
      <c r="B30" s="61" t="s">
        <v>22</v>
      </c>
      <c r="C30" s="70" t="s">
        <v>199</v>
      </c>
      <c r="D30" s="78" t="s">
        <v>124</v>
      </c>
      <c r="E30" s="61">
        <v>42389</v>
      </c>
      <c r="F30" s="78" t="s">
        <v>80</v>
      </c>
      <c r="G30" s="63"/>
      <c r="H30" s="63"/>
      <c r="I30" s="63">
        <v>67.099999999999994</v>
      </c>
      <c r="J30" s="63">
        <f>6.2+10.8</f>
        <v>17</v>
      </c>
      <c r="K30" s="63"/>
      <c r="L30" s="63"/>
      <c r="M30" s="63">
        <f>SUM(G30:L30)</f>
        <v>84.1</v>
      </c>
    </row>
    <row r="31" spans="1:15" x14ac:dyDescent="0.3">
      <c r="A31" s="62" t="s">
        <v>77</v>
      </c>
      <c r="B31" s="61" t="s">
        <v>22</v>
      </c>
      <c r="C31" s="70">
        <v>42431</v>
      </c>
      <c r="D31" s="78" t="s">
        <v>95</v>
      </c>
      <c r="E31" s="61">
        <v>42446</v>
      </c>
      <c r="F31" s="78" t="s">
        <v>80</v>
      </c>
      <c r="G31" s="63"/>
      <c r="H31" s="63"/>
      <c r="I31" s="63">
        <v>67.099999999999994</v>
      </c>
      <c r="J31" s="63"/>
      <c r="K31" s="63"/>
      <c r="L31" s="63"/>
      <c r="M31" s="63">
        <f t="shared" ref="M31:M32" si="8">SUM(G31:L31)</f>
        <v>67.099999999999994</v>
      </c>
    </row>
    <row r="32" spans="1:15" x14ac:dyDescent="0.3">
      <c r="A32" s="62" t="s">
        <v>77</v>
      </c>
      <c r="B32" s="61" t="s">
        <v>22</v>
      </c>
      <c r="C32" s="70">
        <v>42431</v>
      </c>
      <c r="D32" s="78" t="s">
        <v>61</v>
      </c>
      <c r="E32" s="61">
        <v>42453</v>
      </c>
      <c r="F32" s="78" t="s">
        <v>80</v>
      </c>
      <c r="G32" s="63"/>
      <c r="H32" s="63"/>
      <c r="I32" s="63">
        <v>67.099999999999994</v>
      </c>
      <c r="J32" s="63"/>
      <c r="K32" s="63"/>
      <c r="L32" s="63"/>
      <c r="M32" s="63">
        <f t="shared" si="8"/>
        <v>67.099999999999994</v>
      </c>
    </row>
    <row r="33" spans="1:17" x14ac:dyDescent="0.3">
      <c r="A33" s="64" t="s">
        <v>81</v>
      </c>
      <c r="B33" s="65"/>
      <c r="C33" s="68"/>
      <c r="D33" s="67"/>
      <c r="E33" s="68"/>
      <c r="F33" s="65"/>
      <c r="G33" s="69">
        <f>SUBTOTAL(9,G28:G32)</f>
        <v>0</v>
      </c>
      <c r="H33" s="69">
        <f t="shared" ref="H33:M33" si="9">SUBTOTAL(9,H29:H32)</f>
        <v>0</v>
      </c>
      <c r="I33" s="69">
        <f t="shared" si="9"/>
        <v>201.29999999999998</v>
      </c>
      <c r="J33" s="69">
        <f t="shared" si="9"/>
        <v>51</v>
      </c>
      <c r="K33" s="69">
        <f t="shared" si="9"/>
        <v>0</v>
      </c>
      <c r="L33" s="69">
        <f t="shared" si="9"/>
        <v>0</v>
      </c>
      <c r="M33" s="69">
        <f t="shared" si="9"/>
        <v>252.29999999999998</v>
      </c>
      <c r="O33" s="108"/>
    </row>
    <row r="34" spans="1:17" x14ac:dyDescent="0.3">
      <c r="A34" s="62" t="s">
        <v>21</v>
      </c>
      <c r="B34" s="61" t="s">
        <v>22</v>
      </c>
      <c r="C34" s="70">
        <v>42373</v>
      </c>
      <c r="D34" s="78" t="s">
        <v>126</v>
      </c>
      <c r="E34" s="61">
        <v>42334</v>
      </c>
      <c r="F34" s="71" t="s">
        <v>136</v>
      </c>
      <c r="G34" s="63"/>
      <c r="H34" s="63"/>
      <c r="I34" s="63"/>
      <c r="J34" s="63">
        <v>6.3</v>
      </c>
      <c r="K34" s="63">
        <v>5</v>
      </c>
      <c r="L34" s="63">
        <v>27.5</v>
      </c>
      <c r="M34" s="63">
        <f>SUM(G34:L34)</f>
        <v>38.799999999999997</v>
      </c>
    </row>
    <row r="35" spans="1:17" x14ac:dyDescent="0.3">
      <c r="A35" s="62" t="s">
        <v>21</v>
      </c>
      <c r="B35" s="61" t="s">
        <v>22</v>
      </c>
      <c r="C35" s="70" t="s">
        <v>200</v>
      </c>
      <c r="D35" s="78" t="s">
        <v>135</v>
      </c>
      <c r="E35" s="61">
        <v>42347</v>
      </c>
      <c r="F35" s="71" t="s">
        <v>136</v>
      </c>
      <c r="G35" s="63">
        <v>243.79</v>
      </c>
      <c r="H35" s="63"/>
      <c r="I35" s="63">
        <f>5.6</f>
        <v>5.6</v>
      </c>
      <c r="J35" s="63">
        <f>35+90.45</f>
        <v>125.45</v>
      </c>
      <c r="K35" s="63">
        <f>109+12+13.85+21.2+186.6+18.68</f>
        <v>361.33</v>
      </c>
      <c r="L35" s="63">
        <v>27.5</v>
      </c>
      <c r="M35" s="63">
        <f t="shared" ref="M35:M38" si="10">SUM(G35:L35)</f>
        <v>763.67</v>
      </c>
    </row>
    <row r="36" spans="1:17" x14ac:dyDescent="0.3">
      <c r="A36" s="62" t="s">
        <v>21</v>
      </c>
      <c r="B36" s="61" t="s">
        <v>22</v>
      </c>
      <c r="C36" s="70">
        <v>42373</v>
      </c>
      <c r="D36" s="78" t="s">
        <v>124</v>
      </c>
      <c r="E36" s="61">
        <v>42319</v>
      </c>
      <c r="F36" s="71" t="s">
        <v>136</v>
      </c>
      <c r="G36" s="63"/>
      <c r="H36" s="63"/>
      <c r="I36" s="63">
        <f>5.6+16.65</f>
        <v>22.25</v>
      </c>
      <c r="J36" s="63">
        <v>24</v>
      </c>
      <c r="K36" s="63">
        <f>119+16.82+5.99</f>
        <v>141.81</v>
      </c>
      <c r="L36" s="63">
        <v>27.5</v>
      </c>
      <c r="M36" s="63">
        <f t="shared" si="10"/>
        <v>215.56</v>
      </c>
    </row>
    <row r="37" spans="1:17" x14ac:dyDescent="0.3">
      <c r="A37" s="62" t="s">
        <v>21</v>
      </c>
      <c r="B37" s="61" t="s">
        <v>22</v>
      </c>
      <c r="C37" s="70">
        <v>42373</v>
      </c>
      <c r="D37" s="78" t="s">
        <v>201</v>
      </c>
      <c r="E37" s="61">
        <v>42343</v>
      </c>
      <c r="F37" s="71" t="s">
        <v>136</v>
      </c>
      <c r="G37" s="63"/>
      <c r="H37" s="63"/>
      <c r="I37" s="63">
        <v>1310</v>
      </c>
      <c r="J37" s="63"/>
      <c r="K37" s="63"/>
      <c r="L37" s="63"/>
      <c r="M37" s="63">
        <f t="shared" si="10"/>
        <v>1310</v>
      </c>
    </row>
    <row r="38" spans="1:17" x14ac:dyDescent="0.3">
      <c r="A38" s="62" t="s">
        <v>21</v>
      </c>
      <c r="B38" s="61" t="s">
        <v>22</v>
      </c>
      <c r="C38" s="70">
        <v>42373</v>
      </c>
      <c r="D38" s="78" t="s">
        <v>202</v>
      </c>
      <c r="E38" s="61">
        <v>42291</v>
      </c>
      <c r="F38" s="71" t="s">
        <v>136</v>
      </c>
      <c r="G38" s="63"/>
      <c r="H38" s="63"/>
      <c r="I38" s="63"/>
      <c r="J38" s="63">
        <v>6.3</v>
      </c>
      <c r="K38" s="63">
        <v>4.54</v>
      </c>
      <c r="L38" s="63">
        <v>76.5</v>
      </c>
      <c r="M38" s="63">
        <f t="shared" si="10"/>
        <v>87.34</v>
      </c>
    </row>
    <row r="39" spans="1:17" x14ac:dyDescent="0.3">
      <c r="A39" s="64" t="s">
        <v>39</v>
      </c>
      <c r="B39" s="65"/>
      <c r="C39" s="68"/>
      <c r="D39" s="67"/>
      <c r="E39" s="68"/>
      <c r="F39" s="65"/>
      <c r="G39" s="69">
        <f>SUBTOTAL(9,G34:G38)</f>
        <v>243.79</v>
      </c>
      <c r="H39" s="69">
        <f t="shared" ref="H39:L39" si="11">SUBTOTAL(9,H34:H38)</f>
        <v>0</v>
      </c>
      <c r="I39" s="69">
        <f t="shared" si="11"/>
        <v>1337.85</v>
      </c>
      <c r="J39" s="69">
        <f t="shared" si="11"/>
        <v>162.05000000000001</v>
      </c>
      <c r="K39" s="69">
        <f t="shared" si="11"/>
        <v>512.67999999999995</v>
      </c>
      <c r="L39" s="69">
        <f t="shared" si="11"/>
        <v>159</v>
      </c>
      <c r="M39" s="69">
        <f>SUBTOTAL(9,M34:M38)</f>
        <v>2415.37</v>
      </c>
      <c r="O39" s="108"/>
    </row>
    <row r="40" spans="1:17" x14ac:dyDescent="0.3">
      <c r="A40" s="61" t="s">
        <v>90</v>
      </c>
      <c r="B40" s="61" t="s">
        <v>22</v>
      </c>
      <c r="C40" s="70">
        <v>42376</v>
      </c>
      <c r="D40" s="78" t="s">
        <v>126</v>
      </c>
      <c r="E40" s="61">
        <v>42397</v>
      </c>
      <c r="F40" s="71" t="s">
        <v>91</v>
      </c>
      <c r="G40" s="63"/>
      <c r="H40" s="63"/>
      <c r="I40" s="63">
        <v>52.5</v>
      </c>
      <c r="J40" s="63"/>
      <c r="K40" s="63"/>
      <c r="L40" s="63"/>
      <c r="M40" s="63">
        <f t="shared" ref="M40:M46" si="12">SUM(G40:L40)</f>
        <v>52.5</v>
      </c>
    </row>
    <row r="41" spans="1:17" x14ac:dyDescent="0.3">
      <c r="A41" s="62" t="s">
        <v>90</v>
      </c>
      <c r="B41" s="61" t="s">
        <v>22</v>
      </c>
      <c r="C41" s="70">
        <v>42376</v>
      </c>
      <c r="D41" s="78" t="s">
        <v>126</v>
      </c>
      <c r="E41" s="61">
        <v>42355</v>
      </c>
      <c r="F41" s="71" t="s">
        <v>91</v>
      </c>
      <c r="G41" s="63"/>
      <c r="H41" s="63"/>
      <c r="I41" s="63">
        <v>52.2</v>
      </c>
      <c r="J41" s="63"/>
      <c r="K41" s="63"/>
      <c r="L41" s="63"/>
      <c r="M41" s="63">
        <f t="shared" si="12"/>
        <v>52.2</v>
      </c>
    </row>
    <row r="42" spans="1:17" x14ac:dyDescent="0.3">
      <c r="A42" s="62" t="s">
        <v>90</v>
      </c>
      <c r="B42" s="61" t="s">
        <v>22</v>
      </c>
      <c r="C42" s="70">
        <v>42376</v>
      </c>
      <c r="D42" s="78" t="s">
        <v>95</v>
      </c>
      <c r="E42" s="61">
        <v>42383</v>
      </c>
      <c r="F42" s="71" t="s">
        <v>91</v>
      </c>
      <c r="G42" s="63"/>
      <c r="H42" s="63"/>
      <c r="I42" s="63">
        <f>52.5-47.5</f>
        <v>5</v>
      </c>
      <c r="J42" s="63"/>
      <c r="K42" s="63"/>
      <c r="L42" s="63"/>
      <c r="M42" s="63">
        <f t="shared" si="12"/>
        <v>5</v>
      </c>
    </row>
    <row r="43" spans="1:17" x14ac:dyDescent="0.3">
      <c r="A43" s="62" t="s">
        <v>90</v>
      </c>
      <c r="B43" s="61" t="s">
        <v>22</v>
      </c>
      <c r="C43" s="70">
        <v>42376</v>
      </c>
      <c r="D43" s="78" t="s">
        <v>124</v>
      </c>
      <c r="E43" s="61">
        <v>42389</v>
      </c>
      <c r="F43" s="71" t="s">
        <v>91</v>
      </c>
      <c r="G43" s="63"/>
      <c r="H43" s="63"/>
      <c r="I43" s="63">
        <v>52.5</v>
      </c>
      <c r="J43" s="63"/>
      <c r="K43" s="63"/>
      <c r="L43" s="63"/>
      <c r="M43" s="63">
        <f t="shared" si="12"/>
        <v>52.5</v>
      </c>
    </row>
    <row r="44" spans="1:17" x14ac:dyDescent="0.3">
      <c r="A44" s="62" t="s">
        <v>90</v>
      </c>
      <c r="B44" s="61" t="s">
        <v>22</v>
      </c>
      <c r="C44" s="70">
        <v>42405</v>
      </c>
      <c r="D44" s="78" t="s">
        <v>211</v>
      </c>
      <c r="E44" s="61">
        <v>42409</v>
      </c>
      <c r="F44" s="71" t="s">
        <v>91</v>
      </c>
      <c r="G44" s="63"/>
      <c r="H44" s="63"/>
      <c r="I44" s="63">
        <f>52.5+52.5</f>
        <v>105</v>
      </c>
      <c r="J44" s="63"/>
      <c r="K44" s="63"/>
      <c r="L44" s="63"/>
      <c r="M44" s="63">
        <f t="shared" si="12"/>
        <v>105</v>
      </c>
    </row>
    <row r="45" spans="1:17" x14ac:dyDescent="0.3">
      <c r="A45" s="62" t="s">
        <v>90</v>
      </c>
      <c r="B45" s="61" t="s">
        <v>22</v>
      </c>
      <c r="C45" s="70">
        <v>42405</v>
      </c>
      <c r="D45" s="78" t="s">
        <v>212</v>
      </c>
      <c r="E45" s="61">
        <v>42411</v>
      </c>
      <c r="F45" s="71" t="s">
        <v>91</v>
      </c>
      <c r="G45" s="63"/>
      <c r="H45" s="63"/>
      <c r="I45" s="63">
        <f>35.6+52.5</f>
        <v>88.1</v>
      </c>
      <c r="J45" s="63"/>
      <c r="K45" s="63"/>
      <c r="L45" s="63"/>
      <c r="M45" s="63">
        <f t="shared" si="12"/>
        <v>88.1</v>
      </c>
    </row>
    <row r="46" spans="1:17" x14ac:dyDescent="0.3">
      <c r="A46" s="62" t="s">
        <v>90</v>
      </c>
      <c r="B46" s="61" t="s">
        <v>22</v>
      </c>
      <c r="C46" s="70">
        <v>42405</v>
      </c>
      <c r="D46" s="78" t="s">
        <v>126</v>
      </c>
      <c r="E46" s="61">
        <v>42425</v>
      </c>
      <c r="F46" s="71" t="s">
        <v>91</v>
      </c>
      <c r="G46" s="63"/>
      <c r="H46" s="63"/>
      <c r="I46" s="63">
        <f>52.5+52.5</f>
        <v>105</v>
      </c>
      <c r="J46" s="63"/>
      <c r="K46" s="63"/>
      <c r="L46" s="63"/>
      <c r="M46" s="63">
        <f t="shared" si="12"/>
        <v>105</v>
      </c>
    </row>
    <row r="47" spans="1:17" x14ac:dyDescent="0.3">
      <c r="A47" s="64" t="s">
        <v>93</v>
      </c>
      <c r="B47" s="65"/>
      <c r="C47" s="68"/>
      <c r="D47" s="67"/>
      <c r="E47" s="68"/>
      <c r="F47" s="65"/>
      <c r="G47" s="69">
        <f>SUBTOTAL(9,G40:G46)</f>
        <v>0</v>
      </c>
      <c r="H47" s="69">
        <f t="shared" ref="H47:L47" si="13">SUBTOTAL(9,H40:H46)</f>
        <v>0</v>
      </c>
      <c r="I47" s="69">
        <f>SUBTOTAL(9,I40:I46)</f>
        <v>460.29999999999995</v>
      </c>
      <c r="J47" s="69">
        <f t="shared" si="13"/>
        <v>0</v>
      </c>
      <c r="K47" s="69">
        <f t="shared" si="13"/>
        <v>0</v>
      </c>
      <c r="L47" s="69">
        <f t="shared" si="13"/>
        <v>0</v>
      </c>
      <c r="M47" s="69">
        <f>SUBTOTAL(9,M40:M46)</f>
        <v>460.29999999999995</v>
      </c>
      <c r="O47" s="108"/>
    </row>
    <row r="48" spans="1:17" x14ac:dyDescent="0.3">
      <c r="A48" s="62" t="s">
        <v>19</v>
      </c>
      <c r="B48" s="62" t="s">
        <v>22</v>
      </c>
      <c r="C48" s="79">
        <v>42373</v>
      </c>
      <c r="D48" s="78" t="s">
        <v>203</v>
      </c>
      <c r="E48" s="70">
        <v>42347</v>
      </c>
      <c r="F48" s="71" t="s">
        <v>173</v>
      </c>
      <c r="G48" s="63"/>
      <c r="H48" s="63"/>
      <c r="I48" s="63">
        <v>66.599999999999994</v>
      </c>
      <c r="J48" s="63">
        <v>5.7</v>
      </c>
      <c r="K48" s="63"/>
      <c r="L48" s="63">
        <v>130</v>
      </c>
      <c r="M48" s="63">
        <f t="shared" ref="M48:M53" si="14">SUM(G48:L48)</f>
        <v>202.3</v>
      </c>
      <c r="Q48" s="80"/>
    </row>
    <row r="49" spans="1:17" x14ac:dyDescent="0.3">
      <c r="A49" s="62" t="s">
        <v>19</v>
      </c>
      <c r="B49" s="62" t="s">
        <v>22</v>
      </c>
      <c r="C49" s="70">
        <v>42388</v>
      </c>
      <c r="D49" s="78" t="s">
        <v>95</v>
      </c>
      <c r="E49" s="70">
        <v>42383</v>
      </c>
      <c r="F49" s="71" t="s">
        <v>173</v>
      </c>
      <c r="G49" s="63"/>
      <c r="H49" s="63"/>
      <c r="I49" s="63">
        <v>67.099999999999994</v>
      </c>
      <c r="J49" s="63">
        <v>5.7</v>
      </c>
      <c r="K49" s="63"/>
      <c r="L49" s="63"/>
      <c r="M49" s="63">
        <f t="shared" si="14"/>
        <v>72.8</v>
      </c>
      <c r="Q49" s="80"/>
    </row>
    <row r="50" spans="1:17" x14ac:dyDescent="0.3">
      <c r="A50" s="62" t="s">
        <v>19</v>
      </c>
      <c r="B50" s="62" t="s">
        <v>22</v>
      </c>
      <c r="C50" s="79">
        <v>42402</v>
      </c>
      <c r="D50" s="79" t="s">
        <v>124</v>
      </c>
      <c r="E50" s="70">
        <v>42389</v>
      </c>
      <c r="F50" s="71" t="s">
        <v>173</v>
      </c>
      <c r="G50" s="63"/>
      <c r="H50" s="63"/>
      <c r="I50" s="63">
        <v>67.099999999999994</v>
      </c>
      <c r="J50" s="63">
        <v>5.7</v>
      </c>
      <c r="K50" s="63"/>
      <c r="L50" s="63"/>
      <c r="M50" s="63">
        <f t="shared" si="14"/>
        <v>72.8</v>
      </c>
      <c r="Q50" s="80"/>
    </row>
    <row r="51" spans="1:17" x14ac:dyDescent="0.3">
      <c r="A51" s="62" t="s">
        <v>19</v>
      </c>
      <c r="B51" s="62" t="s">
        <v>22</v>
      </c>
      <c r="C51" s="79">
        <v>42410</v>
      </c>
      <c r="D51" s="79" t="s">
        <v>148</v>
      </c>
      <c r="E51" s="70">
        <v>42403</v>
      </c>
      <c r="F51" s="71" t="s">
        <v>173</v>
      </c>
      <c r="G51" s="63"/>
      <c r="H51" s="63"/>
      <c r="I51" s="63">
        <v>67.099999999999994</v>
      </c>
      <c r="J51" s="63">
        <v>5.7</v>
      </c>
      <c r="K51" s="63"/>
      <c r="L51" s="63"/>
      <c r="M51" s="63">
        <f t="shared" si="14"/>
        <v>72.8</v>
      </c>
      <c r="Q51" s="80"/>
    </row>
    <row r="52" spans="1:17" x14ac:dyDescent="0.3">
      <c r="A52" s="62" t="s">
        <v>19</v>
      </c>
      <c r="B52" s="62" t="s">
        <v>22</v>
      </c>
      <c r="C52" s="79">
        <v>42445</v>
      </c>
      <c r="D52" s="79" t="s">
        <v>124</v>
      </c>
      <c r="E52" s="70">
        <v>42438</v>
      </c>
      <c r="F52" s="71" t="s">
        <v>173</v>
      </c>
      <c r="G52" s="63"/>
      <c r="H52" s="63"/>
      <c r="I52" s="63">
        <v>67.099999999999994</v>
      </c>
      <c r="J52" s="63">
        <v>5.7</v>
      </c>
      <c r="K52" s="63"/>
      <c r="L52" s="63"/>
      <c r="M52" s="63">
        <f t="shared" si="14"/>
        <v>72.8</v>
      </c>
      <c r="Q52" s="80"/>
    </row>
    <row r="53" spans="1:17" x14ac:dyDescent="0.3">
      <c r="A53" s="62" t="s">
        <v>19</v>
      </c>
      <c r="B53" s="62" t="s">
        <v>22</v>
      </c>
      <c r="C53" s="79">
        <v>42458</v>
      </c>
      <c r="D53" s="79" t="s">
        <v>95</v>
      </c>
      <c r="E53" s="70">
        <v>42446</v>
      </c>
      <c r="F53" s="71" t="s">
        <v>173</v>
      </c>
      <c r="G53" s="63"/>
      <c r="H53" s="63"/>
      <c r="I53" s="63">
        <v>67.099999999999994</v>
      </c>
      <c r="J53" s="63">
        <v>5.7</v>
      </c>
      <c r="K53" s="63"/>
      <c r="L53" s="63"/>
      <c r="M53" s="63">
        <f t="shared" si="14"/>
        <v>72.8</v>
      </c>
      <c r="Q53" s="80"/>
    </row>
    <row r="54" spans="1:17" x14ac:dyDescent="0.3">
      <c r="A54" s="64" t="s">
        <v>23</v>
      </c>
      <c r="B54" s="65"/>
      <c r="C54" s="66"/>
      <c r="D54" s="67"/>
      <c r="E54" s="68"/>
      <c r="F54" s="65"/>
      <c r="G54" s="69">
        <f>SUBTOTAL(9,G48:G53)</f>
        <v>0</v>
      </c>
      <c r="H54" s="69">
        <f t="shared" ref="H54:L54" si="15">SUBTOTAL(9,H48:H53)</f>
        <v>0</v>
      </c>
      <c r="I54" s="69">
        <f>SUBTOTAL(9,I48:I53)</f>
        <v>402.1</v>
      </c>
      <c r="J54" s="69">
        <f t="shared" si="15"/>
        <v>34.200000000000003</v>
      </c>
      <c r="K54" s="69">
        <f t="shared" si="15"/>
        <v>0</v>
      </c>
      <c r="L54" s="69">
        <f t="shared" si="15"/>
        <v>130</v>
      </c>
      <c r="M54" s="69">
        <f>SUBTOTAL(9,M48:M53)</f>
        <v>566.30000000000007</v>
      </c>
      <c r="O54" s="108"/>
      <c r="Q54" s="80"/>
    </row>
    <row r="55" spans="1:17" x14ac:dyDescent="0.3">
      <c r="A55" s="72" t="s">
        <v>147</v>
      </c>
      <c r="B55" s="73"/>
      <c r="C55" s="74"/>
      <c r="D55" s="75"/>
      <c r="E55" s="81"/>
      <c r="F55" s="73"/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</row>
    <row r="56" spans="1:17" x14ac:dyDescent="0.3">
      <c r="A56" s="62" t="s">
        <v>43</v>
      </c>
      <c r="B56" s="62" t="s">
        <v>22</v>
      </c>
      <c r="C56" s="79">
        <v>42410</v>
      </c>
      <c r="D56" s="78" t="s">
        <v>126</v>
      </c>
      <c r="E56" s="70">
        <v>42397</v>
      </c>
      <c r="F56" s="63" t="s">
        <v>100</v>
      </c>
      <c r="G56" s="63"/>
      <c r="H56" s="63"/>
      <c r="I56" s="63">
        <f>34.5+4.8</f>
        <v>39.299999999999997</v>
      </c>
      <c r="J56" s="63">
        <v>14.8</v>
      </c>
      <c r="K56" s="63">
        <v>179.7</v>
      </c>
      <c r="L56" s="63"/>
      <c r="M56" s="63">
        <f t="shared" ref="M56:M63" si="16">SUM(G56:L56)</f>
        <v>233.79999999999998</v>
      </c>
    </row>
    <row r="57" spans="1:17" x14ac:dyDescent="0.3">
      <c r="A57" s="62" t="s">
        <v>43</v>
      </c>
      <c r="B57" s="62" t="s">
        <v>22</v>
      </c>
      <c r="C57" s="79">
        <v>42418</v>
      </c>
      <c r="D57" s="78" t="s">
        <v>124</v>
      </c>
      <c r="E57" s="70">
        <v>42389</v>
      </c>
      <c r="F57" s="63" t="s">
        <v>97</v>
      </c>
      <c r="G57" s="63"/>
      <c r="H57" s="63"/>
      <c r="I57" s="63">
        <f>105.5+3.9</f>
        <v>109.4</v>
      </c>
      <c r="J57" s="63"/>
      <c r="K57" s="63"/>
      <c r="L57" s="63"/>
      <c r="M57" s="63">
        <f t="shared" si="16"/>
        <v>109.4</v>
      </c>
    </row>
    <row r="58" spans="1:17" x14ac:dyDescent="0.3">
      <c r="A58" s="64" t="s">
        <v>25</v>
      </c>
      <c r="B58" s="65"/>
      <c r="C58" s="66"/>
      <c r="D58" s="67"/>
      <c r="E58" s="68"/>
      <c r="F58" s="65"/>
      <c r="G58" s="69">
        <f>SUBTOTAL(9,G56:G57)</f>
        <v>0</v>
      </c>
      <c r="H58" s="69">
        <f t="shared" ref="H58:L58" si="17">SUBTOTAL(9,H56:H57)</f>
        <v>0</v>
      </c>
      <c r="I58" s="69">
        <f>SUBTOTAL(9,I56:I57)</f>
        <v>148.69999999999999</v>
      </c>
      <c r="J58" s="69">
        <f t="shared" si="17"/>
        <v>14.8</v>
      </c>
      <c r="K58" s="69">
        <f t="shared" si="17"/>
        <v>179.7</v>
      </c>
      <c r="L58" s="69">
        <f t="shared" si="17"/>
        <v>0</v>
      </c>
      <c r="M58" s="69">
        <f>SUBTOTAL(9,M56:M57)</f>
        <v>343.2</v>
      </c>
      <c r="O58" s="108"/>
    </row>
    <row r="59" spans="1:17" x14ac:dyDescent="0.3">
      <c r="A59" s="62" t="s">
        <v>204</v>
      </c>
      <c r="B59" s="62" t="s">
        <v>22</v>
      </c>
      <c r="C59" s="70" t="s">
        <v>205</v>
      </c>
      <c r="D59" s="78" t="s">
        <v>148</v>
      </c>
      <c r="E59" s="70">
        <v>42403</v>
      </c>
      <c r="F59" s="63" t="s">
        <v>206</v>
      </c>
      <c r="G59" s="63">
        <v>270.45999999999998</v>
      </c>
      <c r="H59" s="63"/>
      <c r="I59" s="63">
        <v>9.8000000000000007</v>
      </c>
      <c r="J59" s="63">
        <f>21.62+7.7</f>
        <v>29.32</v>
      </c>
      <c r="K59" s="63">
        <v>3.8</v>
      </c>
      <c r="L59" s="63"/>
      <c r="M59" s="63">
        <f t="shared" si="16"/>
        <v>313.38</v>
      </c>
    </row>
    <row r="60" spans="1:17" x14ac:dyDescent="0.3">
      <c r="A60" s="62" t="s">
        <v>204</v>
      </c>
      <c r="B60" s="62" t="s">
        <v>22</v>
      </c>
      <c r="C60" s="70" t="s">
        <v>207</v>
      </c>
      <c r="D60" s="78" t="s">
        <v>124</v>
      </c>
      <c r="E60" s="70">
        <v>42439</v>
      </c>
      <c r="F60" s="63" t="s">
        <v>206</v>
      </c>
      <c r="G60" s="63"/>
      <c r="H60" s="63"/>
      <c r="I60" s="63">
        <v>229</v>
      </c>
      <c r="J60" s="63">
        <v>15.6</v>
      </c>
      <c r="K60" s="63">
        <f>16+105.52</f>
        <v>121.52</v>
      </c>
      <c r="L60" s="63"/>
      <c r="M60" s="63">
        <f t="shared" si="16"/>
        <v>366.12</v>
      </c>
    </row>
    <row r="61" spans="1:17" x14ac:dyDescent="0.3">
      <c r="A61" s="62" t="s">
        <v>204</v>
      </c>
      <c r="B61" s="62" t="s">
        <v>22</v>
      </c>
      <c r="C61" s="79">
        <v>42431</v>
      </c>
      <c r="D61" s="78" t="s">
        <v>61</v>
      </c>
      <c r="E61" s="70">
        <v>42453</v>
      </c>
      <c r="F61" s="63" t="s">
        <v>206</v>
      </c>
      <c r="G61" s="63"/>
      <c r="H61" s="63"/>
      <c r="I61" s="63">
        <v>229</v>
      </c>
      <c r="J61" s="63"/>
      <c r="K61" s="63"/>
      <c r="L61" s="63"/>
      <c r="M61" s="63">
        <f t="shared" si="16"/>
        <v>229</v>
      </c>
    </row>
    <row r="62" spans="1:17" x14ac:dyDescent="0.3">
      <c r="A62" s="64" t="s">
        <v>204</v>
      </c>
      <c r="B62" s="65"/>
      <c r="C62" s="66"/>
      <c r="D62" s="67"/>
      <c r="E62" s="68"/>
      <c r="F62" s="65"/>
      <c r="G62" s="69">
        <f>SUBTOTAL(9,G59:G61)</f>
        <v>270.45999999999998</v>
      </c>
      <c r="H62" s="69">
        <f t="shared" ref="H62:L62" si="18">SUBTOTAL(9,H59:H61)</f>
        <v>0</v>
      </c>
      <c r="I62" s="69">
        <f t="shared" si="18"/>
        <v>467.8</v>
      </c>
      <c r="J62" s="69">
        <f>SUBTOTAL(9,J59:J61)</f>
        <v>44.92</v>
      </c>
      <c r="K62" s="69">
        <f t="shared" si="18"/>
        <v>125.32</v>
      </c>
      <c r="L62" s="69">
        <f t="shared" si="18"/>
        <v>0</v>
      </c>
      <c r="M62" s="69">
        <f>SUBTOTAL(9,M59:M61)</f>
        <v>908.5</v>
      </c>
      <c r="O62" s="108"/>
    </row>
    <row r="63" spans="1:17" x14ac:dyDescent="0.3">
      <c r="A63" s="62" t="s">
        <v>26</v>
      </c>
      <c r="B63" s="62" t="s">
        <v>22</v>
      </c>
      <c r="C63" s="79">
        <v>42388</v>
      </c>
      <c r="D63" s="78" t="s">
        <v>95</v>
      </c>
      <c r="E63" s="70">
        <v>42383</v>
      </c>
      <c r="F63" s="63" t="s">
        <v>104</v>
      </c>
      <c r="G63" s="63"/>
      <c r="H63" s="63"/>
      <c r="I63" s="63">
        <v>88.9</v>
      </c>
      <c r="J63" s="63"/>
      <c r="K63" s="63"/>
      <c r="L63" s="63"/>
      <c r="M63" s="63">
        <f t="shared" si="16"/>
        <v>88.9</v>
      </c>
    </row>
    <row r="64" spans="1:17" x14ac:dyDescent="0.3">
      <c r="A64" s="64" t="s">
        <v>41</v>
      </c>
      <c r="B64" s="65" t="s">
        <v>22</v>
      </c>
      <c r="C64" s="66"/>
      <c r="D64" s="67"/>
      <c r="E64" s="68"/>
      <c r="F64" s="65"/>
      <c r="G64" s="69">
        <f>SUBTOTAL(9,G63:G63)</f>
        <v>0</v>
      </c>
      <c r="H64" s="69">
        <f t="shared" ref="H64:M64" si="19">SUBTOTAL(9,H63:H63)</f>
        <v>0</v>
      </c>
      <c r="I64" s="69">
        <f t="shared" si="19"/>
        <v>88.9</v>
      </c>
      <c r="J64" s="69">
        <f t="shared" si="19"/>
        <v>0</v>
      </c>
      <c r="K64" s="69">
        <f t="shared" si="19"/>
        <v>0</v>
      </c>
      <c r="L64" s="69">
        <f t="shared" si="19"/>
        <v>0</v>
      </c>
      <c r="M64" s="69">
        <f t="shared" si="19"/>
        <v>88.9</v>
      </c>
      <c r="O64" s="108"/>
    </row>
    <row r="65" spans="1:18" x14ac:dyDescent="0.3">
      <c r="A65" s="72" t="s">
        <v>50</v>
      </c>
      <c r="B65" s="73" t="s">
        <v>22</v>
      </c>
      <c r="C65" s="74"/>
      <c r="D65" s="75"/>
      <c r="E65" s="81"/>
      <c r="F65" s="73"/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</row>
    <row r="66" spans="1:18" x14ac:dyDescent="0.3">
      <c r="A66" s="62" t="s">
        <v>208</v>
      </c>
      <c r="B66" s="62" t="s">
        <v>22</v>
      </c>
      <c r="C66" s="79">
        <v>42459</v>
      </c>
      <c r="D66" s="78" t="s">
        <v>209</v>
      </c>
      <c r="E66" s="70">
        <v>42439</v>
      </c>
      <c r="F66" s="63" t="s">
        <v>210</v>
      </c>
      <c r="G66" s="63"/>
      <c r="H66" s="63"/>
      <c r="I66" s="63">
        <v>76.3</v>
      </c>
      <c r="J66" s="63"/>
      <c r="K66" s="63"/>
      <c r="L66" s="63"/>
      <c r="M66" s="63">
        <f>SUM(G66:L66)</f>
        <v>76.3</v>
      </c>
    </row>
    <row r="67" spans="1:18" x14ac:dyDescent="0.3">
      <c r="A67" s="62" t="s">
        <v>208</v>
      </c>
      <c r="B67" s="62" t="s">
        <v>22</v>
      </c>
      <c r="C67" s="79">
        <v>42459</v>
      </c>
      <c r="D67" s="78" t="s">
        <v>124</v>
      </c>
      <c r="E67" s="70">
        <v>42389</v>
      </c>
      <c r="F67" s="63" t="s">
        <v>210</v>
      </c>
      <c r="G67" s="63"/>
      <c r="H67" s="63"/>
      <c r="I67" s="63">
        <v>70.8</v>
      </c>
      <c r="J67" s="63"/>
      <c r="K67" s="63"/>
      <c r="L67" s="63"/>
      <c r="M67" s="63">
        <f>SUM(G67:L67)</f>
        <v>70.8</v>
      </c>
    </row>
    <row r="68" spans="1:18" x14ac:dyDescent="0.3">
      <c r="A68" s="62" t="s">
        <v>208</v>
      </c>
      <c r="B68" s="62" t="s">
        <v>22</v>
      </c>
      <c r="C68" s="79">
        <v>42459</v>
      </c>
      <c r="D68" s="78" t="s">
        <v>124</v>
      </c>
      <c r="E68" s="70">
        <v>42438</v>
      </c>
      <c r="F68" s="63" t="s">
        <v>210</v>
      </c>
      <c r="G68" s="63"/>
      <c r="H68" s="63"/>
      <c r="I68" s="63">
        <v>76.3</v>
      </c>
      <c r="J68" s="63"/>
      <c r="K68" s="63"/>
      <c r="L68" s="63"/>
      <c r="M68" s="63">
        <f>SUM(G68:L68)</f>
        <v>76.3</v>
      </c>
    </row>
    <row r="69" spans="1:18" x14ac:dyDescent="0.3">
      <c r="A69" s="64" t="s">
        <v>208</v>
      </c>
      <c r="B69" s="65" t="s">
        <v>22</v>
      </c>
      <c r="C69" s="66"/>
      <c r="D69" s="67"/>
      <c r="E69" s="68"/>
      <c r="F69" s="65"/>
      <c r="G69" s="69">
        <f>SUBTOTAL(9,G66:G68)</f>
        <v>0</v>
      </c>
      <c r="H69" s="69">
        <f t="shared" ref="H69:L69" si="20">SUBTOTAL(9,H66:H68)</f>
        <v>0</v>
      </c>
      <c r="I69" s="69">
        <f t="shared" si="20"/>
        <v>223.39999999999998</v>
      </c>
      <c r="J69" s="69">
        <f t="shared" si="20"/>
        <v>0</v>
      </c>
      <c r="K69" s="69">
        <f t="shared" si="20"/>
        <v>0</v>
      </c>
      <c r="L69" s="69">
        <f t="shared" si="20"/>
        <v>0</v>
      </c>
      <c r="M69" s="69">
        <f>SUBTOTAL(9,M66:M68)</f>
        <v>223.39999999999998</v>
      </c>
      <c r="O69" s="108"/>
    </row>
    <row r="70" spans="1:18" ht="17.25" thickBot="1" x14ac:dyDescent="0.35">
      <c r="A70" s="82"/>
      <c r="B70" s="82"/>
      <c r="C70" s="83"/>
      <c r="D70" s="82"/>
      <c r="E70" s="82"/>
      <c r="F70" s="84"/>
      <c r="G70" s="85">
        <f t="shared" ref="G70:M70" si="21">SUBTOTAL(9,G3:G69)</f>
        <v>1224.07</v>
      </c>
      <c r="H70" s="85">
        <f t="shared" si="21"/>
        <v>108</v>
      </c>
      <c r="I70" s="85">
        <f t="shared" si="21"/>
        <v>6199.6700000000028</v>
      </c>
      <c r="J70" s="85">
        <f t="shared" si="21"/>
        <v>637.47000000000025</v>
      </c>
      <c r="K70" s="85">
        <f t="shared" si="21"/>
        <v>2226.16</v>
      </c>
      <c r="L70" s="85">
        <f t="shared" si="21"/>
        <v>311.98</v>
      </c>
      <c r="M70" s="85">
        <f t="shared" si="21"/>
        <v>10707.349999999995</v>
      </c>
      <c r="N70" s="108"/>
      <c r="O70" s="108"/>
    </row>
    <row r="71" spans="1:18" ht="17.25" thickTop="1" x14ac:dyDescent="0.3">
      <c r="A71" s="86"/>
      <c r="B71" s="86"/>
      <c r="C71" s="87"/>
      <c r="D71" s="86"/>
      <c r="E71" s="86"/>
      <c r="F71" s="86"/>
      <c r="G71" s="88"/>
      <c r="H71" s="88"/>
      <c r="I71" s="88"/>
      <c r="J71" s="88"/>
      <c r="K71" s="88"/>
      <c r="L71" s="88"/>
      <c r="M71" s="88"/>
      <c r="R71" s="89"/>
    </row>
    <row r="72" spans="1:18" x14ac:dyDescent="0.3">
      <c r="E72" s="90"/>
      <c r="F72" s="90"/>
    </row>
    <row r="73" spans="1:18" ht="17.25" thickBot="1" x14ac:dyDescent="0.35">
      <c r="A73" s="86"/>
      <c r="B73" s="86"/>
      <c r="C73" s="87"/>
      <c r="D73" s="86"/>
      <c r="E73" s="86"/>
      <c r="F73" s="86"/>
      <c r="G73" s="88"/>
      <c r="H73" s="88"/>
      <c r="I73" s="88"/>
      <c r="J73" s="88"/>
      <c r="K73" s="88"/>
      <c r="L73" s="88"/>
      <c r="M73" s="88"/>
    </row>
    <row r="74" spans="1:18" ht="17.25" thickBot="1" x14ac:dyDescent="0.35">
      <c r="A74" s="86"/>
      <c r="B74" s="86"/>
      <c r="C74" s="86"/>
      <c r="D74" s="86"/>
      <c r="E74" s="86"/>
      <c r="F74" s="91" t="s">
        <v>29</v>
      </c>
      <c r="G74" s="92"/>
      <c r="H74" s="92"/>
      <c r="I74" s="92"/>
      <c r="J74" s="92"/>
      <c r="K74" s="92"/>
      <c r="L74" s="92"/>
      <c r="M74" s="93"/>
    </row>
    <row r="75" spans="1:18" ht="52.5" x14ac:dyDescent="0.3">
      <c r="A75" s="86"/>
      <c r="B75" s="86"/>
      <c r="C75" s="86"/>
      <c r="D75" s="86"/>
      <c r="E75" s="86"/>
      <c r="F75" s="94"/>
      <c r="G75" s="95" t="s">
        <v>6</v>
      </c>
      <c r="H75" s="96" t="s">
        <v>30</v>
      </c>
      <c r="I75" s="96" t="s">
        <v>8</v>
      </c>
      <c r="J75" s="96" t="s">
        <v>9</v>
      </c>
      <c r="K75" s="96" t="s">
        <v>10</v>
      </c>
      <c r="L75" s="96" t="s">
        <v>11</v>
      </c>
      <c r="M75" s="97" t="s">
        <v>31</v>
      </c>
    </row>
    <row r="76" spans="1:18" x14ac:dyDescent="0.3">
      <c r="A76" s="86"/>
      <c r="B76" s="86"/>
      <c r="C76" s="98"/>
      <c r="D76" s="86"/>
      <c r="E76" s="86"/>
      <c r="F76" s="99" t="s">
        <v>32</v>
      </c>
      <c r="G76" s="100">
        <f>G70-G77</f>
        <v>1224.07</v>
      </c>
      <c r="H76" s="100">
        <f t="shared" ref="H76:M76" si="22">H70-H77</f>
        <v>108</v>
      </c>
      <c r="I76" s="100">
        <f t="shared" si="22"/>
        <v>6014.2700000000032</v>
      </c>
      <c r="J76" s="100">
        <f t="shared" si="22"/>
        <v>637.47000000000025</v>
      </c>
      <c r="K76" s="100">
        <f t="shared" si="22"/>
        <v>2226.16</v>
      </c>
      <c r="L76" s="100">
        <f t="shared" si="22"/>
        <v>311.98</v>
      </c>
      <c r="M76" s="100">
        <f t="shared" si="22"/>
        <v>10521.949999999995</v>
      </c>
    </row>
    <row r="77" spans="1:18" x14ac:dyDescent="0.3">
      <c r="A77" s="86"/>
      <c r="B77" s="86"/>
      <c r="C77" s="98"/>
      <c r="D77" s="86"/>
      <c r="E77" s="86"/>
      <c r="F77" s="99" t="s">
        <v>33</v>
      </c>
      <c r="G77" s="100">
        <f t="shared" ref="G77:L77" si="23">G6</f>
        <v>0</v>
      </c>
      <c r="H77" s="100">
        <f t="shared" si="23"/>
        <v>0</v>
      </c>
      <c r="I77" s="100">
        <f t="shared" si="23"/>
        <v>185.39999999999998</v>
      </c>
      <c r="J77" s="100">
        <f t="shared" si="23"/>
        <v>0</v>
      </c>
      <c r="K77" s="100">
        <f t="shared" si="23"/>
        <v>0</v>
      </c>
      <c r="L77" s="100">
        <f t="shared" si="23"/>
        <v>0</v>
      </c>
      <c r="M77" s="100">
        <f>SUM(G77:L77)</f>
        <v>185.39999999999998</v>
      </c>
    </row>
    <row r="78" spans="1:18" x14ac:dyDescent="0.3">
      <c r="A78" s="86"/>
      <c r="B78" s="86"/>
      <c r="C78" s="98"/>
      <c r="D78" s="86"/>
      <c r="E78" s="86"/>
      <c r="F78" s="101" t="s">
        <v>34</v>
      </c>
      <c r="G78" s="102">
        <f t="shared" ref="G78:L78" si="24">SUM(G76:G77)</f>
        <v>1224.07</v>
      </c>
      <c r="H78" s="102">
        <f t="shared" si="24"/>
        <v>108</v>
      </c>
      <c r="I78" s="102">
        <f t="shared" si="24"/>
        <v>6199.6700000000028</v>
      </c>
      <c r="J78" s="102">
        <f t="shared" si="24"/>
        <v>637.47000000000025</v>
      </c>
      <c r="K78" s="102">
        <f t="shared" si="24"/>
        <v>2226.16</v>
      </c>
      <c r="L78" s="102">
        <f t="shared" si="24"/>
        <v>311.98</v>
      </c>
      <c r="M78" s="100">
        <f>SUM(G78:L78)</f>
        <v>10707.350000000002</v>
      </c>
    </row>
    <row r="79" spans="1:18" x14ac:dyDescent="0.3">
      <c r="A79" s="86"/>
      <c r="B79" s="86"/>
      <c r="C79" s="98"/>
      <c r="D79" s="86"/>
      <c r="E79" s="86"/>
      <c r="F79" s="99" t="s">
        <v>35</v>
      </c>
      <c r="G79" s="103" t="s">
        <v>38</v>
      </c>
      <c r="H79" s="103"/>
      <c r="I79" s="103" t="s">
        <v>38</v>
      </c>
      <c r="J79" s="103" t="s">
        <v>38</v>
      </c>
      <c r="K79" s="103" t="s">
        <v>38</v>
      </c>
      <c r="L79" s="103" t="s">
        <v>38</v>
      </c>
      <c r="M79" s="100">
        <f>SUM(G79:L79)</f>
        <v>0</v>
      </c>
    </row>
    <row r="80" spans="1:18" x14ac:dyDescent="0.3">
      <c r="A80" s="86"/>
      <c r="B80" s="86"/>
      <c r="C80" s="98"/>
      <c r="D80" s="86"/>
      <c r="E80" s="86"/>
      <c r="F80" s="99" t="s">
        <v>47</v>
      </c>
      <c r="G80" s="103" t="s">
        <v>38</v>
      </c>
      <c r="H80" s="104"/>
      <c r="I80" s="103" t="s">
        <v>38</v>
      </c>
      <c r="J80" s="103" t="s">
        <v>38</v>
      </c>
      <c r="K80" s="103" t="s">
        <v>38</v>
      </c>
      <c r="L80" s="103" t="s">
        <v>38</v>
      </c>
      <c r="M80" s="100">
        <f>SUM(G80:L80)</f>
        <v>0</v>
      </c>
    </row>
    <row r="81" spans="1:13" ht="17.25" thickBot="1" x14ac:dyDescent="0.35">
      <c r="A81" s="86"/>
      <c r="B81" s="86"/>
      <c r="C81" s="98"/>
      <c r="D81" s="86"/>
      <c r="E81" s="86"/>
      <c r="F81" s="105" t="s">
        <v>36</v>
      </c>
      <c r="G81" s="106">
        <f t="shared" ref="G81:L81" si="25">SUM(G78:G80)</f>
        <v>1224.07</v>
      </c>
      <c r="H81" s="106">
        <f t="shared" si="25"/>
        <v>108</v>
      </c>
      <c r="I81" s="106">
        <f t="shared" si="25"/>
        <v>6199.6700000000028</v>
      </c>
      <c r="J81" s="106">
        <f t="shared" si="25"/>
        <v>637.47000000000025</v>
      </c>
      <c r="K81" s="106">
        <f t="shared" si="25"/>
        <v>2226.16</v>
      </c>
      <c r="L81" s="106">
        <f t="shared" si="25"/>
        <v>311.98</v>
      </c>
      <c r="M81" s="107">
        <f>SUM(G81:L81)</f>
        <v>10707.350000000002</v>
      </c>
    </row>
    <row r="82" spans="1:13" x14ac:dyDescent="0.3">
      <c r="A82" s="86"/>
      <c r="B82" s="86"/>
      <c r="C82" s="86"/>
      <c r="D82" s="86"/>
      <c r="E82" s="86"/>
      <c r="F82" s="86"/>
      <c r="G82" s="88"/>
      <c r="H82" s="88"/>
      <c r="I82" s="88"/>
      <c r="J82" s="88"/>
      <c r="K82" s="88"/>
      <c r="L82" s="88"/>
      <c r="M82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 - Jun 2015</vt:lpstr>
      <vt:lpstr>Jul - Sep 2015</vt:lpstr>
      <vt:lpstr>Oct - Dec 2015</vt:lpstr>
      <vt:lpstr>Jan - Mar 2016</vt:lpstr>
    </vt:vector>
  </TitlesOfParts>
  <Company>HFEA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Ashiwaju</dc:creator>
  <cp:lastModifiedBy>Adam Ashiwaju</cp:lastModifiedBy>
  <dcterms:created xsi:type="dcterms:W3CDTF">2014-04-16T10:22:28Z</dcterms:created>
  <dcterms:modified xsi:type="dcterms:W3CDTF">2016-04-26T11:29:57Z</dcterms:modified>
</cp:coreProperties>
</file>