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65131" windowWidth="8265" windowHeight="9540" activeTab="2"/>
  </bookViews>
  <sheets>
    <sheet name="Apr - Jun 2016" sheetId="1" r:id="rId1"/>
    <sheet name="Jul - Sep 2016" sheetId="2" r:id="rId2"/>
    <sheet name="Oct - Dec 2016" sheetId="3" r:id="rId3"/>
    <sheet name="Jan - Mar 2017" sheetId="4" r:id="rId4"/>
  </sheets>
  <definedNames/>
  <calcPr fullCalcOnLoad="1"/>
</workbook>
</file>

<file path=xl/sharedStrings.xml><?xml version="1.0" encoding="utf-8"?>
<sst xmlns="http://schemas.openxmlformats.org/spreadsheetml/2006/main" count="993" uniqueCount="179">
  <si>
    <t>Name</t>
  </si>
  <si>
    <t>Job Title</t>
  </si>
  <si>
    <t>Date claim / Invoice received</t>
  </si>
  <si>
    <t>Description</t>
  </si>
  <si>
    <t>Date of Meeting / Event</t>
  </si>
  <si>
    <t>Trip / Destination</t>
  </si>
  <si>
    <t>Air</t>
  </si>
  <si>
    <t>1st Class / Open (Rail &amp; Air)</t>
  </si>
  <si>
    <t>Rail/ Tube</t>
  </si>
  <si>
    <t>Taxi / Car / Parking</t>
  </si>
  <si>
    <t>Accommodation / Meals</t>
  </si>
  <si>
    <t>Other</t>
  </si>
  <si>
    <t>Total</t>
  </si>
  <si>
    <t>Peter Thompson</t>
  </si>
  <si>
    <t>Chief Executive</t>
  </si>
  <si>
    <t>Peter Thompson Subtotal</t>
  </si>
  <si>
    <t>Director of Compliance &amp; Information</t>
  </si>
  <si>
    <t>Nick Jones Subtotal</t>
  </si>
  <si>
    <t>Sally Cheshire</t>
  </si>
  <si>
    <t>Andy Greenfield</t>
  </si>
  <si>
    <t>Sally Cheshire Subtotal</t>
  </si>
  <si>
    <t>Rebekah Dundas</t>
  </si>
  <si>
    <t>Member</t>
  </si>
  <si>
    <t>Andy Greenfield Subtotal</t>
  </si>
  <si>
    <t>Sue Price Subtotal</t>
  </si>
  <si>
    <t>Lee Rayfield</t>
  </si>
  <si>
    <t>David Archard</t>
  </si>
  <si>
    <t>David Archard Subtotal</t>
  </si>
  <si>
    <t>SUMMARY</t>
  </si>
  <si>
    <t>1st Class/Open Rail</t>
  </si>
  <si>
    <t>TOTAL</t>
  </si>
  <si>
    <t>MEMBERS TOTALS</t>
  </si>
  <si>
    <t>SENIOR EXECUTIVE's TOTALS</t>
  </si>
  <si>
    <t>TOTAL MEMBERS &amp; DIRECTORS</t>
  </si>
  <si>
    <t>Other Staff</t>
  </si>
  <si>
    <t>GRAND TOTALS</t>
  </si>
  <si>
    <t>Chair</t>
  </si>
  <si>
    <t>N/A</t>
  </si>
  <si>
    <t>Rebekah Dundas Subtotal</t>
  </si>
  <si>
    <t>Sue Gallone</t>
  </si>
  <si>
    <t>Lee Rayfield Subtotal</t>
  </si>
  <si>
    <t>Taxi / Mileage / Parking</t>
  </si>
  <si>
    <t>Susan Price</t>
  </si>
  <si>
    <t>Juliet Tizzard</t>
  </si>
  <si>
    <t>Juliet Tizzard Subtotal</t>
  </si>
  <si>
    <t>External Advisors:</t>
  </si>
  <si>
    <t>Kate Brian</t>
  </si>
  <si>
    <t>Anthony Rutherford</t>
  </si>
  <si>
    <t>Anthony Rutherford Subtotal</t>
  </si>
  <si>
    <t xml:space="preserve">Nick Jones </t>
  </si>
  <si>
    <t>Director of Strategy and Corporate Affairs</t>
  </si>
  <si>
    <t>Anita Bharucha</t>
  </si>
  <si>
    <t>Anita Bharucha Subtotal</t>
  </si>
  <si>
    <t>Margaret Gilmore</t>
  </si>
  <si>
    <t>Margaret Gilmore Subtotal</t>
  </si>
  <si>
    <t>Yacoub Khalaf Subtotal</t>
  </si>
  <si>
    <t xml:space="preserve">Yacoub Khalaf </t>
  </si>
  <si>
    <t>Director of Finance and Resources</t>
  </si>
  <si>
    <t>Anne Lampe</t>
  </si>
  <si>
    <t>Ruth Wilde</t>
  </si>
  <si>
    <t xml:space="preserve"> MEMBERS &amp; DIRECTORS - EXPENSES CLAIMS / INVOICES RECEIVED BETWEEN 1ST OCTOBER AND 31ST DECEMBER 2016</t>
  </si>
  <si>
    <t xml:space="preserve"> MEMBERS &amp; DIRECTORS - EXPENSES CLAIMS / INVOICES RECEIVED BETWEEN 1ST JANUARY AND 31ST MARCH 2017</t>
  </si>
  <si>
    <t xml:space="preserve"> MEMBERS &amp; DIRECTORS - EXPENSE CLAIMS / INVOICES RECEIVED BETWEEN 1ST APRIL AND 30TH JUNE 2016</t>
  </si>
  <si>
    <t>ARTHIQS</t>
  </si>
  <si>
    <t>26-27/06/2016</t>
  </si>
  <si>
    <t>Londone to Rome</t>
  </si>
  <si>
    <t>Lisbon Meeting Panel</t>
  </si>
  <si>
    <t>05/04/2016 to 08/04/2016</t>
  </si>
  <si>
    <t>London to Lisbon</t>
  </si>
  <si>
    <t>Authority Meeting</t>
  </si>
  <si>
    <t>Stockport to London</t>
  </si>
  <si>
    <t>Chair Day</t>
  </si>
  <si>
    <t>20/04/2016; 22/04/2016</t>
  </si>
  <si>
    <t>HFEA Conference &amp; Chair Day</t>
  </si>
  <si>
    <t>23-24/03/2016</t>
  </si>
  <si>
    <t>05/05/2016; 18/05/2016</t>
  </si>
  <si>
    <t>13-14/04/2016</t>
  </si>
  <si>
    <t xml:space="preserve"> </t>
  </si>
  <si>
    <t>20/04/2016; 20/05/2016</t>
  </si>
  <si>
    <t>SAC</t>
  </si>
  <si>
    <t>Aberdeen to London</t>
  </si>
  <si>
    <t>29/06/2016; 03/06/2016</t>
  </si>
  <si>
    <t>Belfast to London</t>
  </si>
  <si>
    <t>29/06/2016; 23/06/2016</t>
  </si>
  <si>
    <t>London Hotel</t>
  </si>
  <si>
    <t>29/06/2016; 20/04/2016; 13/05/2016</t>
  </si>
  <si>
    <t>HFEA Conference</t>
  </si>
  <si>
    <t>Didcot to London</t>
  </si>
  <si>
    <t>05/05/2016; 17/06/2016</t>
  </si>
  <si>
    <t>29/06/2016; 17/06/2016</t>
  </si>
  <si>
    <t>AGC</t>
  </si>
  <si>
    <t>Connel to London</t>
  </si>
  <si>
    <t>29/06/2016; 05/05/2016</t>
  </si>
  <si>
    <t>Glasgow to London</t>
  </si>
  <si>
    <t>Midgham to London</t>
  </si>
  <si>
    <t>Redfern Refund</t>
  </si>
  <si>
    <t>Licence Committee</t>
  </si>
  <si>
    <t>Meeting at HFEA</t>
  </si>
  <si>
    <t>SCAAC</t>
  </si>
  <si>
    <t>London</t>
  </si>
  <si>
    <t>29/06/2016; 29/06/2016</t>
  </si>
  <si>
    <t>Swindon to London</t>
  </si>
  <si>
    <t>Leeds to London</t>
  </si>
  <si>
    <t>Grateley to London</t>
  </si>
  <si>
    <t>Healthwatch Meeting</t>
  </si>
  <si>
    <t>London to Kelvedon</t>
  </si>
  <si>
    <t>Heath Leaders Meeting; Healthwatch Meeting</t>
  </si>
  <si>
    <t>07/09/2016; 26/09/2016</t>
  </si>
  <si>
    <t>Lodon to Egham; London to Kelvedon</t>
  </si>
  <si>
    <t>Authority</t>
  </si>
  <si>
    <t>1105/2016</t>
  </si>
  <si>
    <t>Multiple Births Meeting; DH Meeting</t>
  </si>
  <si>
    <t>04&amp;05/05/2016</t>
  </si>
  <si>
    <t>Fertility Fest</t>
  </si>
  <si>
    <t>Stockport to Birmingham</t>
  </si>
  <si>
    <t>23-24/06/2016</t>
  </si>
  <si>
    <t>Authority; AGC</t>
  </si>
  <si>
    <t xml:space="preserve">Authority </t>
  </si>
  <si>
    <t>Licence Commiittee</t>
  </si>
  <si>
    <t>Mitochondria Panel</t>
  </si>
  <si>
    <t>HFEA Anniversary</t>
  </si>
  <si>
    <t>Cholsey to Londn</t>
  </si>
  <si>
    <t>PGD Workshop</t>
  </si>
  <si>
    <t>Edinburgh to London</t>
  </si>
  <si>
    <t>Salisbury to London</t>
  </si>
  <si>
    <t>08/07/2016; 14/07/2016</t>
  </si>
  <si>
    <t>05/09/2016; 08/07/2016; 01/09/2016</t>
  </si>
  <si>
    <t>05/09/2016; 08/07/2016; 22/09/2016</t>
  </si>
  <si>
    <t>08/07/2016; 28/07/2016</t>
  </si>
  <si>
    <t>13-21/09/2016</t>
  </si>
  <si>
    <t>23-25/06/2016</t>
  </si>
  <si>
    <t>09/08/2016; 08/07/2016</t>
  </si>
  <si>
    <t>London to Leeds</t>
  </si>
  <si>
    <t>London to Manchester</t>
  </si>
  <si>
    <t>08/07/2016; 17/08/2016</t>
  </si>
  <si>
    <t xml:space="preserve">Anthony Rutherford </t>
  </si>
  <si>
    <t>Anne Lampe Subtotal</t>
  </si>
  <si>
    <t>Ruth Wilde Subtotal</t>
  </si>
  <si>
    <t>BFS Meeting</t>
  </si>
  <si>
    <t>NIB Leadership Summit</t>
  </si>
  <si>
    <t>Renumeration Committee</t>
  </si>
  <si>
    <t xml:space="preserve"> MEMBERS &amp; DIRECTORS - EXPENSE CLAIMS / INVOICES RECEIVED BETWEEN 1ST JULY AND 30TH SEPTEMBER 2016</t>
  </si>
  <si>
    <t>06/07/2016; 08/08/2016; 14/09/2016; 15/09/2016; 21/09/2016</t>
  </si>
  <si>
    <t>Bobbie Farsides</t>
  </si>
  <si>
    <t>2025 Leadership Programme</t>
  </si>
  <si>
    <t>07-11/11/2016</t>
  </si>
  <si>
    <t>London to Copenhagen</t>
  </si>
  <si>
    <t>Centre for Family Research Visit</t>
  </si>
  <si>
    <t>London to Cambridge</t>
  </si>
  <si>
    <t>Director of Finance &amp; Resources</t>
  </si>
  <si>
    <t>Richard Sydee</t>
  </si>
  <si>
    <t xml:space="preserve">Oyster Journey Fares </t>
  </si>
  <si>
    <t>07/06/2016 to 24/08/2016</t>
  </si>
  <si>
    <t>ALB Summer Conference</t>
  </si>
  <si>
    <t xml:space="preserve">Authority Meeting </t>
  </si>
  <si>
    <t>14-15/09/2016</t>
  </si>
  <si>
    <t>Authority Member Interviews</t>
  </si>
  <si>
    <t>Authority Member Interviews &amp; Chair Day</t>
  </si>
  <si>
    <t>RCOG Dinner</t>
  </si>
  <si>
    <t>Stockport to Cambridge</t>
  </si>
  <si>
    <t>25-26/10/2016</t>
  </si>
  <si>
    <t>SAC Meeting</t>
  </si>
  <si>
    <t>AGC &amp; DH Audit &amp; Risk Committee</t>
  </si>
  <si>
    <t>Rail / Tube / Bus</t>
  </si>
  <si>
    <t>Authority Meeting &amp; DH Meeting</t>
  </si>
  <si>
    <t>14&amp;15/09/2016</t>
  </si>
  <si>
    <t>SCAAC Meeting</t>
  </si>
  <si>
    <t>Mitochondrial Donation Media Briefing</t>
  </si>
  <si>
    <t>PET Conference</t>
  </si>
  <si>
    <t>Authority Meeting &amp; HFEA Anniversary</t>
  </si>
  <si>
    <t>06/10/2016; 12/10/2016</t>
  </si>
  <si>
    <t>06/10/2016; 03/10/2016</t>
  </si>
  <si>
    <t>06/10/2016; 05/10/2016</t>
  </si>
  <si>
    <t>06/10/2016; 19/12/2016</t>
  </si>
  <si>
    <t>Didcot Parkway to London</t>
  </si>
  <si>
    <t>08/11/2016; 19/12/2016</t>
  </si>
  <si>
    <t>15/12/2016; 06/10/2016</t>
  </si>
  <si>
    <t>AGC Meeting</t>
  </si>
  <si>
    <t>Authoritty Meeting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</si>
</sst>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dd\-mm\-yyyy"/>
    <numFmt numFmtId="167" formatCode="_-* #,##0.000_-;\-* #,##0.0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 Narrow"/>
      <family val="2"/>
    </font>
    <font>
      <sz val="11"/>
      <color indexed="17"/>
      <name val="Calibri"/>
      <family val="2"/>
    </font>
    <font>
      <b/>
      <sz val="18"/>
      <color indexed="9"/>
      <name val="Arial Narrow"/>
      <family val="2"/>
    </font>
    <font>
      <b/>
      <i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0"/>
      <name val="Arial Narrow"/>
      <family val="2"/>
    </font>
    <font>
      <b/>
      <i/>
      <sz val="10"/>
      <color rgb="FFFF000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1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43" fontId="46" fillId="24" borderId="10" xfId="68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wrapText="1"/>
    </xf>
    <xf numFmtId="14" fontId="2" fillId="33" borderId="11" xfId="0" applyNumberFormat="1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/>
    </xf>
    <xf numFmtId="43" fontId="2" fillId="33" borderId="11" xfId="68" applyFont="1" applyFill="1" applyBorder="1" applyAlignment="1">
      <alignment horizontal="center" wrapText="1"/>
    </xf>
    <xf numFmtId="0" fontId="47" fillId="34" borderId="11" xfId="0" applyFont="1" applyFill="1" applyBorder="1" applyAlignment="1">
      <alignment/>
    </xf>
    <xf numFmtId="0" fontId="48" fillId="34" borderId="11" xfId="0" applyFont="1" applyFill="1" applyBorder="1" applyAlignment="1">
      <alignment/>
    </xf>
    <xf numFmtId="14" fontId="47" fillId="34" borderId="11" xfId="0" applyNumberFormat="1" applyFont="1" applyFill="1" applyBorder="1" applyAlignment="1">
      <alignment horizontal="left"/>
    </xf>
    <xf numFmtId="0" fontId="49" fillId="34" borderId="11" xfId="0" applyFont="1" applyFill="1" applyBorder="1" applyAlignment="1">
      <alignment/>
    </xf>
    <xf numFmtId="14" fontId="48" fillId="34" borderId="11" xfId="0" applyNumberFormat="1" applyFont="1" applyFill="1" applyBorder="1" applyAlignment="1">
      <alignment horizontal="left"/>
    </xf>
    <xf numFmtId="43" fontId="49" fillId="34" borderId="11" xfId="68" applyFont="1" applyFill="1" applyBorder="1" applyAlignment="1">
      <alignment/>
    </xf>
    <xf numFmtId="14" fontId="3" fillId="35" borderId="11" xfId="0" applyNumberFormat="1" applyFont="1" applyFill="1" applyBorder="1" applyAlignment="1">
      <alignment/>
    </xf>
    <xf numFmtId="0" fontId="3" fillId="35" borderId="11" xfId="0" applyFont="1" applyFill="1" applyBorder="1" applyAlignment="1">
      <alignment/>
    </xf>
    <xf numFmtId="43" fontId="3" fillId="35" borderId="11" xfId="68" applyFont="1" applyFill="1" applyBorder="1" applyAlignment="1">
      <alignment/>
    </xf>
    <xf numFmtId="0" fontId="47" fillId="36" borderId="11" xfId="0" applyFont="1" applyFill="1" applyBorder="1" applyAlignment="1">
      <alignment/>
    </xf>
    <xf numFmtId="0" fontId="48" fillId="36" borderId="11" xfId="0" applyFont="1" applyFill="1" applyBorder="1" applyAlignment="1">
      <alignment/>
    </xf>
    <xf numFmtId="165" fontId="48" fillId="36" borderId="11" xfId="0" applyNumberFormat="1" applyFont="1" applyFill="1" applyBorder="1" applyAlignment="1">
      <alignment horizontal="left"/>
    </xf>
    <xf numFmtId="0" fontId="49" fillId="36" borderId="11" xfId="0" applyFont="1" applyFill="1" applyBorder="1" applyAlignment="1">
      <alignment/>
    </xf>
    <xf numFmtId="14" fontId="48" fillId="36" borderId="11" xfId="0" applyNumberFormat="1" applyFont="1" applyFill="1" applyBorder="1" applyAlignment="1">
      <alignment horizontal="left"/>
    </xf>
    <xf numFmtId="14" fontId="3" fillId="35" borderId="11" xfId="0" applyNumberFormat="1" applyFont="1" applyFill="1" applyBorder="1" applyAlignment="1">
      <alignment horizontal="right"/>
    </xf>
    <xf numFmtId="0" fontId="3" fillId="35" borderId="11" xfId="0" applyFont="1" applyFill="1" applyBorder="1" applyAlignment="1">
      <alignment/>
    </xf>
    <xf numFmtId="166" fontId="3" fillId="35" borderId="11" xfId="0" applyNumberFormat="1" applyFont="1" applyFill="1" applyBorder="1" applyAlignment="1">
      <alignment horizontal="left"/>
    </xf>
    <xf numFmtId="14" fontId="48" fillId="34" borderId="11" xfId="0" applyNumberFormat="1" applyFont="1" applyFill="1" applyBorder="1" applyAlignment="1">
      <alignment horizontal="right"/>
    </xf>
    <xf numFmtId="0" fontId="48" fillId="0" borderId="0" xfId="0" applyFont="1" applyAlignment="1">
      <alignment/>
    </xf>
    <xf numFmtId="14" fontId="48" fillId="0" borderId="0" xfId="0" applyNumberFormat="1" applyFont="1" applyAlignment="1">
      <alignment/>
    </xf>
    <xf numFmtId="43" fontId="48" fillId="0" borderId="0" xfId="0" applyNumberFormat="1" applyFont="1" applyAlignment="1">
      <alignment/>
    </xf>
    <xf numFmtId="43" fontId="49" fillId="0" borderId="12" xfId="68" applyFont="1" applyBorder="1" applyAlignment="1">
      <alignment/>
    </xf>
    <xf numFmtId="43" fontId="2" fillId="33" borderId="13" xfId="68" applyFont="1" applyFill="1" applyBorder="1" applyAlignment="1">
      <alignment horizontal="center" wrapText="1"/>
    </xf>
    <xf numFmtId="43" fontId="2" fillId="33" borderId="14" xfId="68" applyFont="1" applyFill="1" applyBorder="1" applyAlignment="1">
      <alignment horizontal="center" wrapText="1"/>
    </xf>
    <xf numFmtId="43" fontId="2" fillId="6" borderId="15" xfId="68" applyFont="1" applyFill="1" applyBorder="1" applyAlignment="1">
      <alignment/>
    </xf>
    <xf numFmtId="43" fontId="3" fillId="6" borderId="15" xfId="68" applyFont="1" applyFill="1" applyBorder="1" applyAlignment="1">
      <alignment horizontal="center"/>
    </xf>
    <xf numFmtId="14" fontId="3" fillId="35" borderId="11" xfId="0" applyNumberFormat="1" applyFont="1" applyFill="1" applyBorder="1" applyAlignment="1">
      <alignment/>
    </xf>
    <xf numFmtId="43" fontId="49" fillId="36" borderId="11" xfId="68" applyFont="1" applyFill="1" applyBorder="1" applyAlignment="1">
      <alignment/>
    </xf>
    <xf numFmtId="0" fontId="49" fillId="29" borderId="16" xfId="77" applyFont="1" applyBorder="1" applyAlignment="1">
      <alignment horizontal="center"/>
    </xf>
    <xf numFmtId="43" fontId="49" fillId="29" borderId="17" xfId="68" applyFont="1" applyFill="1" applyBorder="1" applyAlignment="1">
      <alignment horizontal="center"/>
    </xf>
    <xf numFmtId="43" fontId="49" fillId="29" borderId="18" xfId="68" applyFont="1" applyFill="1" applyBorder="1" applyAlignment="1">
      <alignment horizontal="center"/>
    </xf>
    <xf numFmtId="43" fontId="49" fillId="6" borderId="15" xfId="68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14" fontId="32" fillId="0" borderId="0" xfId="0" applyNumberFormat="1" applyFont="1" applyAlignment="1">
      <alignment/>
    </xf>
    <xf numFmtId="43" fontId="32" fillId="0" borderId="0" xfId="68" applyFont="1" applyAlignment="1">
      <alignment/>
    </xf>
    <xf numFmtId="164" fontId="2" fillId="33" borderId="19" xfId="0" applyNumberFormat="1" applyFont="1" applyFill="1" applyBorder="1" applyAlignment="1">
      <alignment horizontal="center" wrapText="1"/>
    </xf>
    <xf numFmtId="43" fontId="2" fillId="33" borderId="20" xfId="68" applyFont="1" applyFill="1" applyBorder="1" applyAlignment="1">
      <alignment horizontal="center" wrapText="1"/>
    </xf>
    <xf numFmtId="0" fontId="2" fillId="35" borderId="21" xfId="0" applyFont="1" applyFill="1" applyBorder="1" applyAlignment="1">
      <alignment/>
    </xf>
    <xf numFmtId="0" fontId="49" fillId="35" borderId="21" xfId="0" applyFont="1" applyFill="1" applyBorder="1" applyAlignment="1">
      <alignment/>
    </xf>
    <xf numFmtId="167" fontId="3" fillId="6" borderId="15" xfId="68" applyNumberFormat="1" applyFont="1" applyFill="1" applyBorder="1" applyAlignment="1">
      <alignment horizontal="center"/>
    </xf>
    <xf numFmtId="0" fontId="2" fillId="36" borderId="22" xfId="0" applyFont="1" applyFill="1" applyBorder="1" applyAlignment="1">
      <alignment/>
    </xf>
    <xf numFmtId="43" fontId="2" fillId="36" borderId="23" xfId="68" applyFont="1" applyFill="1" applyBorder="1" applyAlignment="1">
      <alignment/>
    </xf>
    <xf numFmtId="0" fontId="50" fillId="0" borderId="0" xfId="0" applyFont="1" applyAlignment="1">
      <alignment/>
    </xf>
    <xf numFmtId="43" fontId="2" fillId="36" borderId="24" xfId="68" applyFont="1" applyFill="1" applyBorder="1" applyAlignment="1">
      <alignment/>
    </xf>
    <xf numFmtId="49" fontId="46" fillId="24" borderId="10" xfId="59" applyNumberFormat="1" applyFont="1" applyBorder="1" applyAlignment="1">
      <alignment/>
    </xf>
    <xf numFmtId="22" fontId="50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43" fontId="49" fillId="0" borderId="0" xfId="68" applyFont="1" applyBorder="1" applyAlignment="1">
      <alignment/>
    </xf>
    <xf numFmtId="49" fontId="46" fillId="24" borderId="10" xfId="59" applyNumberFormat="1" applyFont="1" applyBorder="1" applyAlignment="1">
      <alignment/>
    </xf>
    <xf numFmtId="43" fontId="46" fillId="24" borderId="10" xfId="68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wrapText="1"/>
    </xf>
    <xf numFmtId="14" fontId="2" fillId="33" borderId="11" xfId="0" applyNumberFormat="1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/>
    </xf>
    <xf numFmtId="43" fontId="2" fillId="33" borderId="11" xfId="68" applyFont="1" applyFill="1" applyBorder="1" applyAlignment="1">
      <alignment horizontal="center" wrapText="1"/>
    </xf>
    <xf numFmtId="14" fontId="3" fillId="35" borderId="11" xfId="0" applyNumberFormat="1" applyFont="1" applyFill="1" applyBorder="1" applyAlignment="1">
      <alignment/>
    </xf>
    <xf numFmtId="0" fontId="3" fillId="35" borderId="11" xfId="0" applyFont="1" applyFill="1" applyBorder="1" applyAlignment="1">
      <alignment/>
    </xf>
    <xf numFmtId="43" fontId="3" fillId="35" borderId="11" xfId="68" applyFont="1" applyFill="1" applyBorder="1" applyAlignment="1">
      <alignment/>
    </xf>
    <xf numFmtId="0" fontId="47" fillId="36" borderId="11" xfId="0" applyFont="1" applyFill="1" applyBorder="1" applyAlignment="1">
      <alignment/>
    </xf>
    <xf numFmtId="0" fontId="48" fillId="36" borderId="11" xfId="0" applyFont="1" applyFill="1" applyBorder="1" applyAlignment="1">
      <alignment/>
    </xf>
    <xf numFmtId="165" fontId="48" fillId="36" borderId="11" xfId="0" applyNumberFormat="1" applyFont="1" applyFill="1" applyBorder="1" applyAlignment="1">
      <alignment horizontal="left"/>
    </xf>
    <xf numFmtId="0" fontId="49" fillId="36" borderId="11" xfId="0" applyFont="1" applyFill="1" applyBorder="1" applyAlignment="1">
      <alignment/>
    </xf>
    <xf numFmtId="14" fontId="48" fillId="36" borderId="11" xfId="0" applyNumberFormat="1" applyFont="1" applyFill="1" applyBorder="1" applyAlignment="1">
      <alignment horizontal="left"/>
    </xf>
    <xf numFmtId="43" fontId="49" fillId="36" borderId="11" xfId="68" applyFont="1" applyFill="1" applyBorder="1" applyAlignment="1">
      <alignment/>
    </xf>
    <xf numFmtId="14" fontId="3" fillId="35" borderId="11" xfId="0" applyNumberFormat="1" applyFont="1" applyFill="1" applyBorder="1" applyAlignment="1">
      <alignment horizontal="right"/>
    </xf>
    <xf numFmtId="166" fontId="3" fillId="35" borderId="11" xfId="0" applyNumberFormat="1" applyFont="1" applyFill="1" applyBorder="1" applyAlignment="1">
      <alignment horizontal="left"/>
    </xf>
    <xf numFmtId="0" fontId="47" fillId="34" borderId="11" xfId="0" applyFont="1" applyFill="1" applyBorder="1" applyAlignment="1">
      <alignment/>
    </xf>
    <xf numFmtId="0" fontId="48" fillId="34" borderId="11" xfId="0" applyFont="1" applyFill="1" applyBorder="1" applyAlignment="1">
      <alignment/>
    </xf>
    <xf numFmtId="14" fontId="47" fillId="34" borderId="11" xfId="0" applyNumberFormat="1" applyFont="1" applyFill="1" applyBorder="1" applyAlignment="1">
      <alignment horizontal="left"/>
    </xf>
    <xf numFmtId="0" fontId="49" fillId="34" borderId="11" xfId="0" applyFont="1" applyFill="1" applyBorder="1" applyAlignment="1">
      <alignment/>
    </xf>
    <xf numFmtId="14" fontId="48" fillId="34" borderId="11" xfId="0" applyNumberFormat="1" applyFont="1" applyFill="1" applyBorder="1" applyAlignment="1">
      <alignment horizontal="left"/>
    </xf>
    <xf numFmtId="43" fontId="49" fillId="34" borderId="11" xfId="68" applyFont="1" applyFill="1" applyBorder="1" applyAlignment="1">
      <alignment/>
    </xf>
    <xf numFmtId="0" fontId="3" fillId="35" borderId="11" xfId="0" applyFont="1" applyFill="1" applyBorder="1" applyAlignment="1">
      <alignment/>
    </xf>
    <xf numFmtId="14" fontId="3" fillId="35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48" fillId="34" borderId="11" xfId="0" applyNumberFormat="1" applyFont="1" applyFill="1" applyBorder="1" applyAlignment="1">
      <alignment horizontal="right"/>
    </xf>
    <xf numFmtId="0" fontId="48" fillId="0" borderId="0" xfId="0" applyFont="1" applyAlignment="1">
      <alignment/>
    </xf>
    <xf numFmtId="14" fontId="48" fillId="0" borderId="0" xfId="0" applyNumberFormat="1" applyFont="1" applyAlignment="1">
      <alignment/>
    </xf>
    <xf numFmtId="43" fontId="48" fillId="0" borderId="0" xfId="0" applyNumberFormat="1" applyFont="1" applyAlignment="1">
      <alignment/>
    </xf>
    <xf numFmtId="43" fontId="49" fillId="0" borderId="12" xfId="68" applyFont="1" applyBorder="1" applyAlignment="1">
      <alignment/>
    </xf>
    <xf numFmtId="0" fontId="32" fillId="0" borderId="0" xfId="0" applyFont="1" applyAlignment="1">
      <alignment/>
    </xf>
    <xf numFmtId="14" fontId="32" fillId="0" borderId="0" xfId="0" applyNumberFormat="1" applyFont="1" applyAlignment="1">
      <alignment/>
    </xf>
    <xf numFmtId="43" fontId="32" fillId="0" borderId="0" xfId="68" applyFont="1" applyAlignment="1">
      <alignment/>
    </xf>
    <xf numFmtId="43" fontId="49" fillId="0" borderId="0" xfId="68" applyFont="1" applyBorder="1" applyAlignment="1">
      <alignment/>
    </xf>
    <xf numFmtId="22" fontId="50" fillId="0" borderId="0" xfId="0" applyNumberFormat="1" applyFont="1" applyAlignment="1">
      <alignment/>
    </xf>
    <xf numFmtId="0" fontId="49" fillId="29" borderId="16" xfId="77" applyFont="1" applyBorder="1" applyAlignment="1">
      <alignment horizontal="center"/>
    </xf>
    <xf numFmtId="43" fontId="49" fillId="29" borderId="17" xfId="68" applyFont="1" applyFill="1" applyBorder="1" applyAlignment="1">
      <alignment horizontal="center"/>
    </xf>
    <xf numFmtId="43" fontId="49" fillId="29" borderId="18" xfId="68" applyFont="1" applyFill="1" applyBorder="1" applyAlignment="1">
      <alignment horizontal="center"/>
    </xf>
    <xf numFmtId="164" fontId="2" fillId="33" borderId="19" xfId="0" applyNumberFormat="1" applyFont="1" applyFill="1" applyBorder="1" applyAlignment="1">
      <alignment horizontal="center" wrapText="1"/>
    </xf>
    <xf numFmtId="43" fontId="2" fillId="33" borderId="20" xfId="68" applyFont="1" applyFill="1" applyBorder="1" applyAlignment="1">
      <alignment horizontal="center" wrapText="1"/>
    </xf>
    <xf numFmtId="43" fontId="2" fillId="33" borderId="13" xfId="68" applyFont="1" applyFill="1" applyBorder="1" applyAlignment="1">
      <alignment horizontal="center" wrapText="1"/>
    </xf>
    <xf numFmtId="43" fontId="2" fillId="33" borderId="14" xfId="68" applyFont="1" applyFill="1" applyBorder="1" applyAlignment="1">
      <alignment horizontal="center" wrapText="1"/>
    </xf>
    <xf numFmtId="0" fontId="32" fillId="0" borderId="0" xfId="0" applyFont="1" applyFill="1" applyAlignment="1">
      <alignment/>
    </xf>
    <xf numFmtId="0" fontId="2" fillId="35" borderId="21" xfId="0" applyFont="1" applyFill="1" applyBorder="1" applyAlignment="1">
      <alignment/>
    </xf>
    <xf numFmtId="43" fontId="2" fillId="6" borderId="15" xfId="68" applyFont="1" applyFill="1" applyBorder="1" applyAlignment="1">
      <alignment/>
    </xf>
    <xf numFmtId="0" fontId="49" fillId="35" borderId="21" xfId="0" applyFont="1" applyFill="1" applyBorder="1" applyAlignment="1">
      <alignment/>
    </xf>
    <xf numFmtId="43" fontId="49" fillId="6" borderId="15" xfId="68" applyFont="1" applyFill="1" applyBorder="1" applyAlignment="1">
      <alignment/>
    </xf>
    <xf numFmtId="43" fontId="3" fillId="6" borderId="15" xfId="68" applyFont="1" applyFill="1" applyBorder="1" applyAlignment="1">
      <alignment horizontal="center"/>
    </xf>
    <xf numFmtId="167" fontId="3" fillId="6" borderId="15" xfId="68" applyNumberFormat="1" applyFont="1" applyFill="1" applyBorder="1" applyAlignment="1">
      <alignment horizontal="center"/>
    </xf>
    <xf numFmtId="0" fontId="2" fillId="36" borderId="22" xfId="0" applyFont="1" applyFill="1" applyBorder="1" applyAlignment="1">
      <alignment/>
    </xf>
    <xf numFmtId="43" fontId="2" fillId="36" borderId="23" xfId="68" applyFont="1" applyFill="1" applyBorder="1" applyAlignment="1">
      <alignment/>
    </xf>
    <xf numFmtId="43" fontId="2" fillId="36" borderId="24" xfId="68" applyFont="1" applyFill="1" applyBorder="1" applyAlignment="1">
      <alignment/>
    </xf>
    <xf numFmtId="43" fontId="50" fillId="0" borderId="0" xfId="0" applyNumberFormat="1" applyFont="1" applyAlignment="1">
      <alignment/>
    </xf>
    <xf numFmtId="0" fontId="0" fillId="0" borderId="0" xfId="0" applyFont="1" applyAlignment="1">
      <alignment/>
    </xf>
    <xf numFmtId="8" fontId="50" fillId="0" borderId="0" xfId="0" applyNumberFormat="1" applyFont="1" applyAlignment="1">
      <alignment/>
    </xf>
    <xf numFmtId="8" fontId="0" fillId="0" borderId="0" xfId="0" applyNumberFormat="1" applyAlignment="1">
      <alignment/>
    </xf>
    <xf numFmtId="43" fontId="48" fillId="35" borderId="11" xfId="68" applyFont="1" applyFill="1" applyBorder="1" applyAlignment="1">
      <alignment/>
    </xf>
    <xf numFmtId="43" fontId="2" fillId="6" borderId="10" xfId="68" applyFont="1" applyFill="1" applyBorder="1" applyAlignment="1">
      <alignment/>
    </xf>
    <xf numFmtId="43" fontId="49" fillId="0" borderId="25" xfId="68" applyFont="1" applyBorder="1" applyAlignment="1">
      <alignment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6" xfId="60"/>
    <cellStyle name="Accent6 2" xfId="61"/>
    <cellStyle name="Bad" xfId="62"/>
    <cellStyle name="Bad 2" xfId="63"/>
    <cellStyle name="Calculation" xfId="64"/>
    <cellStyle name="Calculation 2" xfId="65"/>
    <cellStyle name="Check Cell" xfId="66"/>
    <cellStyle name="Check Cell 2" xfId="67"/>
    <cellStyle name="Comma" xfId="68"/>
    <cellStyle name="Comma [0]" xfId="69"/>
    <cellStyle name="Comma 2" xfId="70"/>
    <cellStyle name="Comma 3" xfId="71"/>
    <cellStyle name="Comma 4" xfId="72"/>
    <cellStyle name="Currency" xfId="73"/>
    <cellStyle name="Currency [0]" xfId="74"/>
    <cellStyle name="Explanatory Text" xfId="75"/>
    <cellStyle name="Explanatory Text 2" xfId="76"/>
    <cellStyle name="Good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te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zoomScalePageLayoutView="0" workbookViewId="0" topLeftCell="A1">
      <selection activeCell="F77" sqref="F77"/>
    </sheetView>
  </sheetViews>
  <sheetFormatPr defaultColWidth="9.140625" defaultRowHeight="15"/>
  <cols>
    <col min="1" max="1" width="13.421875" style="49" customWidth="1"/>
    <col min="2" max="2" width="29.8515625" style="49" customWidth="1"/>
    <col min="3" max="3" width="29.28125" style="49" customWidth="1"/>
    <col min="4" max="4" width="19.57421875" style="49" customWidth="1"/>
    <col min="5" max="5" width="19.140625" style="49" bestFit="1" customWidth="1"/>
    <col min="6" max="6" width="20.8515625" style="49" customWidth="1"/>
    <col min="7" max="7" width="8.140625" style="49" customWidth="1"/>
    <col min="8" max="8" width="9.140625" style="49" customWidth="1"/>
    <col min="9" max="9" width="10.7109375" style="49" customWidth="1"/>
    <col min="10" max="14" width="9.140625" style="49" customWidth="1"/>
    <col min="15" max="15" width="10.00390625" style="49" bestFit="1" customWidth="1"/>
    <col min="16" max="18" width="9.140625" style="49" customWidth="1"/>
    <col min="19" max="19" width="17.00390625" style="49" customWidth="1"/>
    <col min="20" max="16384" width="9.140625" style="49" customWidth="1"/>
  </cols>
  <sheetData>
    <row r="1" spans="1:13" ht="23.2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  <c r="M1" s="56"/>
    </row>
    <row r="2" spans="1:13" ht="52.5">
      <c r="A2" s="57" t="s">
        <v>0</v>
      </c>
      <c r="B2" s="57" t="s">
        <v>1</v>
      </c>
      <c r="C2" s="58" t="s">
        <v>2</v>
      </c>
      <c r="D2" s="57" t="s">
        <v>3</v>
      </c>
      <c r="E2" s="57" t="s">
        <v>4</v>
      </c>
      <c r="F2" s="59" t="s">
        <v>5</v>
      </c>
      <c r="G2" s="60" t="s">
        <v>6</v>
      </c>
      <c r="H2" s="60" t="s">
        <v>7</v>
      </c>
      <c r="I2" s="60" t="s">
        <v>8</v>
      </c>
      <c r="J2" s="60" t="s">
        <v>41</v>
      </c>
      <c r="K2" s="60" t="s">
        <v>10</v>
      </c>
      <c r="L2" s="60" t="s">
        <v>11</v>
      </c>
      <c r="M2" s="60" t="s">
        <v>12</v>
      </c>
    </row>
    <row r="3" spans="1:13" ht="16.5">
      <c r="A3" s="72" t="s">
        <v>13</v>
      </c>
      <c r="B3" s="73"/>
      <c r="C3" s="74"/>
      <c r="D3" s="75"/>
      <c r="E3" s="76"/>
      <c r="F3" s="73"/>
      <c r="G3" s="77">
        <v>0</v>
      </c>
      <c r="H3" s="77">
        <v>0</v>
      </c>
      <c r="I3" s="77">
        <v>0</v>
      </c>
      <c r="J3" s="77">
        <v>0</v>
      </c>
      <c r="K3" s="77">
        <v>0</v>
      </c>
      <c r="L3" s="77">
        <v>0</v>
      </c>
      <c r="M3" s="77">
        <v>0</v>
      </c>
    </row>
    <row r="4" spans="1:13" ht="16.5">
      <c r="A4" s="61" t="s">
        <v>49</v>
      </c>
      <c r="B4" s="61" t="s">
        <v>16</v>
      </c>
      <c r="C4" s="70">
        <v>42550</v>
      </c>
      <c r="D4" s="62" t="s">
        <v>63</v>
      </c>
      <c r="E4" s="70" t="s">
        <v>64</v>
      </c>
      <c r="F4" s="62" t="s">
        <v>65</v>
      </c>
      <c r="G4" s="63">
        <f>79.1+87.72</f>
        <v>166.82</v>
      </c>
      <c r="H4" s="63"/>
      <c r="I4" s="63">
        <v>33.4</v>
      </c>
      <c r="J4" s="63"/>
      <c r="K4" s="63">
        <v>0</v>
      </c>
      <c r="L4" s="63"/>
      <c r="M4" s="63">
        <f>SUM(G4:L4)</f>
        <v>200.22</v>
      </c>
    </row>
    <row r="5" spans="1:15" ht="16.5">
      <c r="A5" s="64" t="s">
        <v>17</v>
      </c>
      <c r="B5" s="65"/>
      <c r="C5" s="66"/>
      <c r="D5" s="67"/>
      <c r="E5" s="68"/>
      <c r="F5" s="65"/>
      <c r="G5" s="69">
        <f>SUBTOTAL(9,G4:G4)</f>
        <v>166.82</v>
      </c>
      <c r="H5" s="69">
        <f aca="true" t="shared" si="0" ref="H5:M5">SUBTOTAL(9,H4:H4)</f>
        <v>0</v>
      </c>
      <c r="I5" s="69">
        <f t="shared" si="0"/>
        <v>33.4</v>
      </c>
      <c r="J5" s="69">
        <f t="shared" si="0"/>
        <v>0</v>
      </c>
      <c r="K5" s="69">
        <f t="shared" si="0"/>
        <v>0</v>
      </c>
      <c r="L5" s="69">
        <f t="shared" si="0"/>
        <v>0</v>
      </c>
      <c r="M5" s="69">
        <f t="shared" si="0"/>
        <v>200.22</v>
      </c>
      <c r="O5" s="108"/>
    </row>
    <row r="6" spans="1:13" ht="16.5">
      <c r="A6" s="61" t="s">
        <v>43</v>
      </c>
      <c r="B6" s="61" t="s">
        <v>50</v>
      </c>
      <c r="C6" s="70">
        <v>42471</v>
      </c>
      <c r="D6" s="62" t="s">
        <v>66</v>
      </c>
      <c r="E6" s="70" t="s">
        <v>67</v>
      </c>
      <c r="F6" s="71" t="s">
        <v>68</v>
      </c>
      <c r="G6" s="63"/>
      <c r="H6" s="63"/>
      <c r="I6" s="63">
        <v>55.4</v>
      </c>
      <c r="J6" s="63">
        <v>23.76</v>
      </c>
      <c r="K6" s="63">
        <v>0</v>
      </c>
      <c r="L6" s="63"/>
      <c r="M6" s="63">
        <f>SUM(G6:L6)</f>
        <v>79.16</v>
      </c>
    </row>
    <row r="7" spans="1:15" ht="16.5">
      <c r="A7" s="64" t="s">
        <v>44</v>
      </c>
      <c r="B7" s="65"/>
      <c r="C7" s="66"/>
      <c r="D7" s="67"/>
      <c r="E7" s="68"/>
      <c r="F7" s="65"/>
      <c r="G7" s="69">
        <f>SUBTOTAL(9,G6:G6)</f>
        <v>0</v>
      </c>
      <c r="H7" s="69">
        <f aca="true" t="shared" si="1" ref="H7:M7">SUBTOTAL(9,H6:H6)</f>
        <v>0</v>
      </c>
      <c r="I7" s="69">
        <f t="shared" si="1"/>
        <v>55.4</v>
      </c>
      <c r="J7" s="69">
        <f t="shared" si="1"/>
        <v>23.76</v>
      </c>
      <c r="K7" s="69">
        <f t="shared" si="1"/>
        <v>0</v>
      </c>
      <c r="L7" s="69">
        <f t="shared" si="1"/>
        <v>0</v>
      </c>
      <c r="M7" s="69">
        <f t="shared" si="1"/>
        <v>79.16</v>
      </c>
      <c r="O7" s="108"/>
    </row>
    <row r="8" spans="1:13" ht="16.5">
      <c r="A8" s="72" t="s">
        <v>39</v>
      </c>
      <c r="B8" s="73" t="s">
        <v>57</v>
      </c>
      <c r="C8" s="74"/>
      <c r="D8" s="75"/>
      <c r="E8" s="76"/>
      <c r="F8" s="73"/>
      <c r="G8" s="77">
        <v>0</v>
      </c>
      <c r="H8" s="77"/>
      <c r="I8" s="77"/>
      <c r="J8" s="77"/>
      <c r="K8" s="77"/>
      <c r="L8" s="77"/>
      <c r="M8" s="77">
        <f>SUBTOTAL(9,M7:M7)</f>
        <v>0</v>
      </c>
    </row>
    <row r="9" spans="1:13" ht="16.5">
      <c r="A9" s="61" t="s">
        <v>18</v>
      </c>
      <c r="B9" s="61" t="s">
        <v>36</v>
      </c>
      <c r="C9" s="61">
        <v>42482</v>
      </c>
      <c r="D9" s="62" t="s">
        <v>69</v>
      </c>
      <c r="E9" s="70">
        <v>42438</v>
      </c>
      <c r="F9" s="62" t="s">
        <v>70</v>
      </c>
      <c r="G9" s="63"/>
      <c r="H9" s="63"/>
      <c r="I9" s="63">
        <v>340.17</v>
      </c>
      <c r="J9" s="63">
        <v>45</v>
      </c>
      <c r="K9" s="63">
        <v>10.3</v>
      </c>
      <c r="L9" s="63">
        <v>0</v>
      </c>
      <c r="M9" s="63">
        <f>SUM(G9:L9)</f>
        <v>395.47</v>
      </c>
    </row>
    <row r="10" spans="1:13" ht="16.5">
      <c r="A10" s="61" t="s">
        <v>18</v>
      </c>
      <c r="B10" s="61" t="s">
        <v>36</v>
      </c>
      <c r="C10" s="61">
        <v>42482</v>
      </c>
      <c r="D10" s="62" t="s">
        <v>71</v>
      </c>
      <c r="E10" s="70">
        <v>42445</v>
      </c>
      <c r="F10" s="62" t="s">
        <v>70</v>
      </c>
      <c r="G10" s="63"/>
      <c r="H10" s="63"/>
      <c r="I10" s="63">
        <f>340.17+2.4</f>
        <v>342.57</v>
      </c>
      <c r="J10" s="63">
        <v>45.5</v>
      </c>
      <c r="K10" s="63">
        <v>12.48</v>
      </c>
      <c r="L10" s="63"/>
      <c r="M10" s="63">
        <f>SUM(G10:L10)</f>
        <v>400.55</v>
      </c>
    </row>
    <row r="11" spans="1:13" ht="16.5">
      <c r="A11" s="61" t="s">
        <v>18</v>
      </c>
      <c r="B11" s="61" t="s">
        <v>36</v>
      </c>
      <c r="C11" s="70" t="s">
        <v>72</v>
      </c>
      <c r="D11" s="78" t="s">
        <v>73</v>
      </c>
      <c r="E11" s="70" t="s">
        <v>74</v>
      </c>
      <c r="F11" s="62" t="s">
        <v>70</v>
      </c>
      <c r="G11" s="63"/>
      <c r="H11" s="63"/>
      <c r="I11" s="63">
        <v>212.62</v>
      </c>
      <c r="J11" s="63">
        <v>55.5</v>
      </c>
      <c r="K11" s="63">
        <f>7.69+140.1</f>
        <v>147.79</v>
      </c>
      <c r="L11" s="63"/>
      <c r="M11" s="63">
        <f>SUM(G11:L11)</f>
        <v>415.90999999999997</v>
      </c>
    </row>
    <row r="12" spans="1:13" ht="16.5">
      <c r="A12" s="61" t="s">
        <v>18</v>
      </c>
      <c r="B12" s="61" t="s">
        <v>36</v>
      </c>
      <c r="C12" s="61">
        <v>42482</v>
      </c>
      <c r="D12" s="78" t="s">
        <v>71</v>
      </c>
      <c r="E12" s="70">
        <v>42459</v>
      </c>
      <c r="F12" s="62" t="s">
        <v>70</v>
      </c>
      <c r="G12" s="63"/>
      <c r="H12" s="63"/>
      <c r="I12" s="63">
        <f>340.17+2.4</f>
        <v>342.57</v>
      </c>
      <c r="J12" s="63">
        <v>35</v>
      </c>
      <c r="K12" s="63">
        <v>10</v>
      </c>
      <c r="L12" s="63"/>
      <c r="M12" s="63">
        <f>SUM(G12:L12)</f>
        <v>387.57</v>
      </c>
    </row>
    <row r="13" spans="1:13" ht="16.5">
      <c r="A13" s="62" t="s">
        <v>18</v>
      </c>
      <c r="B13" s="61" t="s">
        <v>36</v>
      </c>
      <c r="C13" s="70" t="s">
        <v>75</v>
      </c>
      <c r="D13" s="78" t="s">
        <v>71</v>
      </c>
      <c r="E13" s="70" t="s">
        <v>76</v>
      </c>
      <c r="F13" s="62" t="s">
        <v>70</v>
      </c>
      <c r="G13" s="63"/>
      <c r="H13" s="63"/>
      <c r="I13" s="63">
        <v>212.62</v>
      </c>
      <c r="J13" s="63">
        <v>97.71</v>
      </c>
      <c r="K13" s="63">
        <f>30.88+140.4</f>
        <v>171.28</v>
      </c>
      <c r="L13" s="63"/>
      <c r="M13" s="63">
        <f>SUM(G13:L13)</f>
        <v>481.61</v>
      </c>
    </row>
    <row r="14" spans="1:17" ht="16.5">
      <c r="A14" s="64" t="s">
        <v>20</v>
      </c>
      <c r="B14" s="65"/>
      <c r="C14" s="66"/>
      <c r="D14" s="67"/>
      <c r="E14" s="68"/>
      <c r="F14" s="65"/>
      <c r="G14" s="69">
        <f>SUBTOTAL(9,G9:G13)</f>
        <v>0</v>
      </c>
      <c r="H14" s="69">
        <f aca="true" t="shared" si="2" ref="H14:M14">SUBTOTAL(9,H9:H13)</f>
        <v>0</v>
      </c>
      <c r="I14" s="69">
        <f t="shared" si="2"/>
        <v>1450.5500000000002</v>
      </c>
      <c r="J14" s="69">
        <f t="shared" si="2"/>
        <v>278.71</v>
      </c>
      <c r="K14" s="69">
        <f t="shared" si="2"/>
        <v>351.85</v>
      </c>
      <c r="L14" s="69">
        <f t="shared" si="2"/>
        <v>0</v>
      </c>
      <c r="M14" s="69">
        <f t="shared" si="2"/>
        <v>2081.1099999999997</v>
      </c>
      <c r="O14" s="108"/>
      <c r="Q14" s="49" t="s">
        <v>77</v>
      </c>
    </row>
    <row r="15" spans="1:13" ht="15.75" customHeight="1">
      <c r="A15" s="61" t="s">
        <v>26</v>
      </c>
      <c r="B15" s="62" t="s">
        <v>22</v>
      </c>
      <c r="C15" s="70" t="s">
        <v>78</v>
      </c>
      <c r="D15" s="78" t="s">
        <v>79</v>
      </c>
      <c r="E15" s="70">
        <v>42459</v>
      </c>
      <c r="F15" s="78" t="s">
        <v>80</v>
      </c>
      <c r="G15" s="63">
        <v>112.81</v>
      </c>
      <c r="H15" s="63">
        <v>201.8</v>
      </c>
      <c r="I15" s="63">
        <v>22</v>
      </c>
      <c r="J15" s="63">
        <v>12</v>
      </c>
      <c r="K15" s="63">
        <v>0</v>
      </c>
      <c r="L15" s="63"/>
      <c r="M15" s="63">
        <f>SUM(G15:L15)</f>
        <v>348.61</v>
      </c>
    </row>
    <row r="16" spans="1:13" ht="15.75" customHeight="1">
      <c r="A16" s="61" t="s">
        <v>26</v>
      </c>
      <c r="B16" s="62" t="s">
        <v>22</v>
      </c>
      <c r="C16" s="70" t="s">
        <v>81</v>
      </c>
      <c r="D16" s="78" t="s">
        <v>69</v>
      </c>
      <c r="E16" s="70">
        <v>42501</v>
      </c>
      <c r="F16" s="78" t="s">
        <v>82</v>
      </c>
      <c r="G16" s="63">
        <v>183.98</v>
      </c>
      <c r="H16" s="63"/>
      <c r="I16" s="63">
        <v>5.6</v>
      </c>
      <c r="J16" s="63">
        <v>23</v>
      </c>
      <c r="K16" s="63">
        <f>10.55+205.6</f>
        <v>216.15</v>
      </c>
      <c r="L16" s="63"/>
      <c r="M16" s="63">
        <f>SUM(G16:L16)</f>
        <v>428.73</v>
      </c>
    </row>
    <row r="17" spans="1:13" ht="15.75" customHeight="1">
      <c r="A17" s="61" t="s">
        <v>26</v>
      </c>
      <c r="B17" s="62" t="s">
        <v>22</v>
      </c>
      <c r="C17" s="70" t="s">
        <v>83</v>
      </c>
      <c r="D17" s="78" t="s">
        <v>79</v>
      </c>
      <c r="E17" s="70">
        <v>42517</v>
      </c>
      <c r="F17" s="78" t="s">
        <v>82</v>
      </c>
      <c r="G17" s="63">
        <v>180.98</v>
      </c>
      <c r="H17" s="63"/>
      <c r="I17" s="63">
        <v>5.6</v>
      </c>
      <c r="J17" s="63">
        <v>23</v>
      </c>
      <c r="K17" s="63">
        <f>9.79+195.6</f>
        <v>205.39</v>
      </c>
      <c r="L17" s="63"/>
      <c r="M17" s="63">
        <f>SUM(G17:L17)</f>
        <v>414.96999999999997</v>
      </c>
    </row>
    <row r="18" spans="1:13" ht="16.5">
      <c r="A18" s="61" t="s">
        <v>26</v>
      </c>
      <c r="B18" s="62" t="s">
        <v>22</v>
      </c>
      <c r="C18" s="70">
        <v>42480</v>
      </c>
      <c r="D18" s="78" t="s">
        <v>69</v>
      </c>
      <c r="E18" s="70">
        <v>42438</v>
      </c>
      <c r="F18" s="78" t="s">
        <v>84</v>
      </c>
      <c r="G18" s="63">
        <v>0</v>
      </c>
      <c r="H18" s="63"/>
      <c r="I18" s="63">
        <v>0</v>
      </c>
      <c r="J18" s="63">
        <v>0</v>
      </c>
      <c r="K18" s="63">
        <v>152.6</v>
      </c>
      <c r="L18" s="63"/>
      <c r="M18" s="63">
        <f>SUM(G18:L18)</f>
        <v>152.6</v>
      </c>
    </row>
    <row r="19" spans="1:13" ht="16.5">
      <c r="A19" s="61" t="s">
        <v>26</v>
      </c>
      <c r="B19" s="62" t="s">
        <v>22</v>
      </c>
      <c r="C19" s="70">
        <v>42495</v>
      </c>
      <c r="D19" s="78" t="s">
        <v>79</v>
      </c>
      <c r="E19" s="70">
        <v>42488</v>
      </c>
      <c r="F19" s="78" t="s">
        <v>82</v>
      </c>
      <c r="G19" s="63">
        <v>90.15</v>
      </c>
      <c r="H19" s="63"/>
      <c r="I19" s="63"/>
      <c r="J19" s="63"/>
      <c r="K19" s="63">
        <f>130.6</f>
        <v>130.6</v>
      </c>
      <c r="L19" s="63"/>
      <c r="M19" s="63">
        <f>SUM(G19:L19)</f>
        <v>220.75</v>
      </c>
    </row>
    <row r="20" spans="1:13" ht="16.5">
      <c r="A20" s="61" t="s">
        <v>26</v>
      </c>
      <c r="B20" s="62" t="s">
        <v>22</v>
      </c>
      <c r="C20" s="70">
        <v>42495</v>
      </c>
      <c r="D20" s="78" t="s">
        <v>79</v>
      </c>
      <c r="E20" s="70">
        <v>42214</v>
      </c>
      <c r="F20" s="78" t="s">
        <v>82</v>
      </c>
      <c r="G20" s="63"/>
      <c r="H20" s="63"/>
      <c r="I20" s="63"/>
      <c r="J20" s="63"/>
      <c r="K20" s="63"/>
      <c r="L20" s="63">
        <v>139.69</v>
      </c>
      <c r="M20" s="63">
        <f>SUM(G20:L20)</f>
        <v>139.69</v>
      </c>
    </row>
    <row r="21" spans="1:15" ht="16.5">
      <c r="A21" s="64" t="s">
        <v>27</v>
      </c>
      <c r="B21" s="65"/>
      <c r="C21" s="68"/>
      <c r="D21" s="67"/>
      <c r="E21" s="68"/>
      <c r="F21" s="65"/>
      <c r="G21" s="69">
        <f aca="true" t="shared" si="3" ref="G21:M21">SUBTOTAL(9,G15:G20)</f>
        <v>567.92</v>
      </c>
      <c r="H21" s="69">
        <f t="shared" si="3"/>
        <v>201.8</v>
      </c>
      <c r="I21" s="69">
        <f t="shared" si="3"/>
        <v>33.2</v>
      </c>
      <c r="J21" s="69">
        <f t="shared" si="3"/>
        <v>58</v>
      </c>
      <c r="K21" s="69">
        <f t="shared" si="3"/>
        <v>704.74</v>
      </c>
      <c r="L21" s="69">
        <f t="shared" si="3"/>
        <v>139.69</v>
      </c>
      <c r="M21" s="69">
        <f t="shared" si="3"/>
        <v>1705.35</v>
      </c>
      <c r="O21" s="108"/>
    </row>
    <row r="22" spans="1:13" ht="16.5">
      <c r="A22" s="72" t="s">
        <v>46</v>
      </c>
      <c r="B22" s="73" t="s">
        <v>22</v>
      </c>
      <c r="C22" s="74"/>
      <c r="D22" s="75"/>
      <c r="E22" s="76"/>
      <c r="F22" s="73"/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</row>
    <row r="23" spans="1:13" ht="16.5">
      <c r="A23" s="62" t="s">
        <v>51</v>
      </c>
      <c r="B23" s="61" t="s">
        <v>22</v>
      </c>
      <c r="C23" s="70" t="s">
        <v>85</v>
      </c>
      <c r="D23" s="78" t="s">
        <v>86</v>
      </c>
      <c r="E23" s="61">
        <v>42453</v>
      </c>
      <c r="F23" s="78" t="s">
        <v>87</v>
      </c>
      <c r="G23" s="63"/>
      <c r="H23" s="63"/>
      <c r="I23" s="63">
        <f>67.1-62.1</f>
        <v>4.999999999999993</v>
      </c>
      <c r="J23" s="63">
        <v>6.2</v>
      </c>
      <c r="K23" s="63"/>
      <c r="L23" s="63"/>
      <c r="M23" s="63">
        <f>SUM(G23:L23)</f>
        <v>11.199999999999992</v>
      </c>
    </row>
    <row r="24" spans="1:13" ht="16.5">
      <c r="A24" s="62" t="s">
        <v>51</v>
      </c>
      <c r="B24" s="61" t="s">
        <v>22</v>
      </c>
      <c r="C24" s="70" t="s">
        <v>88</v>
      </c>
      <c r="D24" s="78" t="s">
        <v>69</v>
      </c>
      <c r="E24" s="61">
        <v>42501</v>
      </c>
      <c r="F24" s="78" t="s">
        <v>87</v>
      </c>
      <c r="G24" s="63"/>
      <c r="H24" s="63"/>
      <c r="I24" s="63">
        <v>68.1</v>
      </c>
      <c r="J24" s="63">
        <f>6.2+10.8</f>
        <v>17</v>
      </c>
      <c r="K24" s="63"/>
      <c r="L24" s="63"/>
      <c r="M24" s="63">
        <f>SUM(G24:L24)</f>
        <v>85.1</v>
      </c>
    </row>
    <row r="25" spans="1:13" ht="16.5">
      <c r="A25" s="62" t="s">
        <v>51</v>
      </c>
      <c r="B25" s="61" t="s">
        <v>22</v>
      </c>
      <c r="C25" s="70" t="s">
        <v>89</v>
      </c>
      <c r="D25" s="78" t="s">
        <v>90</v>
      </c>
      <c r="E25" s="61">
        <v>42536</v>
      </c>
      <c r="F25" s="78" t="s">
        <v>87</v>
      </c>
      <c r="G25" s="63"/>
      <c r="H25" s="63"/>
      <c r="I25" s="63">
        <v>68.1</v>
      </c>
      <c r="J25" s="63">
        <f>6.2+10.8</f>
        <v>17</v>
      </c>
      <c r="K25" s="63"/>
      <c r="L25" s="63"/>
      <c r="M25" s="63">
        <f>SUM(G25:L25)</f>
        <v>85.1</v>
      </c>
    </row>
    <row r="26" spans="1:13" ht="16.5">
      <c r="A26" s="62" t="s">
        <v>51</v>
      </c>
      <c r="B26" s="61" t="s">
        <v>22</v>
      </c>
      <c r="C26" s="70">
        <v>42550</v>
      </c>
      <c r="D26" s="78" t="s">
        <v>90</v>
      </c>
      <c r="E26" s="61">
        <v>42446</v>
      </c>
      <c r="F26" s="78" t="s">
        <v>87</v>
      </c>
      <c r="G26" s="63"/>
      <c r="H26" s="63"/>
      <c r="I26" s="63">
        <v>-62.1</v>
      </c>
      <c r="J26" s="63"/>
      <c r="K26" s="63"/>
      <c r="L26" s="63"/>
      <c r="M26" s="63">
        <f>SUM(G26:L26)</f>
        <v>-62.1</v>
      </c>
    </row>
    <row r="27" spans="1:15" ht="16.5">
      <c r="A27" s="64" t="s">
        <v>52</v>
      </c>
      <c r="B27" s="65"/>
      <c r="C27" s="68"/>
      <c r="D27" s="67"/>
      <c r="E27" s="68"/>
      <c r="F27" s="65"/>
      <c r="G27" s="69">
        <f>SUBTOTAL(9,G23:G26)</f>
        <v>0</v>
      </c>
      <c r="H27" s="69">
        <f aca="true" t="shared" si="4" ref="H27:M27">SUBTOTAL(9,H23:H26)</f>
        <v>0</v>
      </c>
      <c r="I27" s="69">
        <f t="shared" si="4"/>
        <v>79.1</v>
      </c>
      <c r="J27" s="69">
        <f t="shared" si="4"/>
        <v>40.2</v>
      </c>
      <c r="K27" s="69">
        <f t="shared" si="4"/>
        <v>0</v>
      </c>
      <c r="L27" s="69">
        <f t="shared" si="4"/>
        <v>0</v>
      </c>
      <c r="M27" s="69">
        <f t="shared" si="4"/>
        <v>119.29999999999998</v>
      </c>
      <c r="O27" s="108"/>
    </row>
    <row r="28" spans="1:13" ht="16.5">
      <c r="A28" s="62" t="s">
        <v>21</v>
      </c>
      <c r="B28" s="61" t="s">
        <v>22</v>
      </c>
      <c r="C28" s="70">
        <v>42482</v>
      </c>
      <c r="D28" s="78" t="s">
        <v>79</v>
      </c>
      <c r="E28" s="61">
        <v>42397</v>
      </c>
      <c r="F28" s="71" t="s">
        <v>91</v>
      </c>
      <c r="G28" s="63"/>
      <c r="H28" s="63"/>
      <c r="I28" s="63"/>
      <c r="J28" s="63">
        <v>6.3</v>
      </c>
      <c r="K28" s="63">
        <v>5.45</v>
      </c>
      <c r="L28" s="63">
        <v>27.5</v>
      </c>
      <c r="M28" s="63">
        <f>SUM(G28:L28)</f>
        <v>39.25</v>
      </c>
    </row>
    <row r="29" spans="1:13" ht="16.5">
      <c r="A29" s="62" t="s">
        <v>21</v>
      </c>
      <c r="B29" s="61" t="s">
        <v>22</v>
      </c>
      <c r="C29" s="70">
        <v>42482</v>
      </c>
      <c r="D29" s="78" t="s">
        <v>69</v>
      </c>
      <c r="E29" s="61">
        <v>42389</v>
      </c>
      <c r="F29" s="71" t="s">
        <v>91</v>
      </c>
      <c r="G29" s="63">
        <v>0</v>
      </c>
      <c r="H29" s="63"/>
      <c r="I29" s="63">
        <v>0</v>
      </c>
      <c r="J29" s="63">
        <v>37.8</v>
      </c>
      <c r="K29" s="63">
        <v>19.12</v>
      </c>
      <c r="L29" s="63">
        <v>43.5</v>
      </c>
      <c r="M29" s="63">
        <f aca="true" t="shared" si="5" ref="M29:M34">SUM(G29:L29)</f>
        <v>100.42</v>
      </c>
    </row>
    <row r="30" spans="1:13" ht="16.5">
      <c r="A30" s="62" t="s">
        <v>21</v>
      </c>
      <c r="B30" s="61" t="s">
        <v>22</v>
      </c>
      <c r="C30" s="70">
        <v>42482</v>
      </c>
      <c r="D30" s="78" t="s">
        <v>79</v>
      </c>
      <c r="E30" s="61">
        <v>42355</v>
      </c>
      <c r="F30" s="71" t="s">
        <v>91</v>
      </c>
      <c r="G30" s="63"/>
      <c r="H30" s="63"/>
      <c r="I30" s="63">
        <v>0</v>
      </c>
      <c r="J30" s="63">
        <v>0</v>
      </c>
      <c r="K30" s="63">
        <v>0</v>
      </c>
      <c r="L30" s="63">
        <v>27.5</v>
      </c>
      <c r="M30" s="63">
        <f t="shared" si="5"/>
        <v>27.5</v>
      </c>
    </row>
    <row r="31" spans="1:13" ht="16.5">
      <c r="A31" s="62" t="s">
        <v>21</v>
      </c>
      <c r="B31" s="61" t="s">
        <v>22</v>
      </c>
      <c r="C31" s="70" t="s">
        <v>72</v>
      </c>
      <c r="D31" s="78" t="s">
        <v>90</v>
      </c>
      <c r="E31" s="61">
        <v>42445</v>
      </c>
      <c r="F31" s="71" t="s">
        <v>91</v>
      </c>
      <c r="G31" s="63">
        <v>88.8</v>
      </c>
      <c r="H31" s="63"/>
      <c r="I31" s="63">
        <f>11.95+6.5</f>
        <v>18.45</v>
      </c>
      <c r="J31" s="63">
        <f>37.8+21.5</f>
        <v>59.3</v>
      </c>
      <c r="K31" s="63">
        <f>7.96+7.77+115</f>
        <v>130.73</v>
      </c>
      <c r="L31" s="63">
        <f>27.5+6</f>
        <v>33.5</v>
      </c>
      <c r="M31" s="63">
        <f t="shared" si="5"/>
        <v>330.78</v>
      </c>
    </row>
    <row r="32" spans="1:13" ht="16.5">
      <c r="A32" s="62" t="s">
        <v>21</v>
      </c>
      <c r="B32" s="61" t="s">
        <v>22</v>
      </c>
      <c r="C32" s="70">
        <v>42482</v>
      </c>
      <c r="D32" s="78" t="s">
        <v>69</v>
      </c>
      <c r="E32" s="61">
        <v>42438</v>
      </c>
      <c r="F32" s="71" t="s">
        <v>91</v>
      </c>
      <c r="G32" s="63"/>
      <c r="H32" s="63"/>
      <c r="I32" s="63">
        <v>4.8</v>
      </c>
      <c r="J32" s="63">
        <v>37.8</v>
      </c>
      <c r="K32" s="63">
        <v>12.55</v>
      </c>
      <c r="L32" s="63">
        <f>11+27.5</f>
        <v>38.5</v>
      </c>
      <c r="M32" s="63">
        <f t="shared" si="5"/>
        <v>93.64999999999999</v>
      </c>
    </row>
    <row r="33" spans="1:13" ht="16.5">
      <c r="A33" s="62" t="s">
        <v>21</v>
      </c>
      <c r="B33" s="61" t="s">
        <v>22</v>
      </c>
      <c r="C33" s="70" t="s">
        <v>72</v>
      </c>
      <c r="D33" s="78" t="s">
        <v>86</v>
      </c>
      <c r="E33" s="61">
        <v>42453</v>
      </c>
      <c r="F33" s="71" t="s">
        <v>91</v>
      </c>
      <c r="G33" s="63">
        <v>125.6</v>
      </c>
      <c r="H33" s="63"/>
      <c r="I33" s="63"/>
      <c r="J33" s="63">
        <v>37.8</v>
      </c>
      <c r="K33" s="63">
        <f>13.1+18.9+156.6</f>
        <v>188.6</v>
      </c>
      <c r="L33" s="63">
        <f>7+11+27.5</f>
        <v>45.5</v>
      </c>
      <c r="M33" s="63">
        <f t="shared" si="5"/>
        <v>397.5</v>
      </c>
    </row>
    <row r="34" spans="1:13" ht="16.5">
      <c r="A34" s="62" t="s">
        <v>21</v>
      </c>
      <c r="B34" s="61" t="s">
        <v>22</v>
      </c>
      <c r="C34" s="70" t="s">
        <v>92</v>
      </c>
      <c r="D34" s="78" t="s">
        <v>69</v>
      </c>
      <c r="E34" s="61">
        <v>42500</v>
      </c>
      <c r="F34" s="71" t="s">
        <v>93</v>
      </c>
      <c r="G34" s="63">
        <v>269.75</v>
      </c>
      <c r="H34" s="63"/>
      <c r="I34" s="63"/>
      <c r="J34" s="63"/>
      <c r="K34" s="63">
        <v>135.6</v>
      </c>
      <c r="L34" s="63"/>
      <c r="M34" s="63">
        <f t="shared" si="5"/>
        <v>405.35</v>
      </c>
    </row>
    <row r="35" spans="1:15" ht="16.5">
      <c r="A35" s="64" t="s">
        <v>38</v>
      </c>
      <c r="B35" s="65"/>
      <c r="C35" s="68"/>
      <c r="D35" s="67"/>
      <c r="E35" s="68"/>
      <c r="F35" s="65"/>
      <c r="G35" s="69">
        <f>SUBTOTAL(9,G28:G34)</f>
        <v>484.15</v>
      </c>
      <c r="H35" s="69">
        <f aca="true" t="shared" si="6" ref="H35:M35">SUBTOTAL(9,H28:H34)</f>
        <v>0</v>
      </c>
      <c r="I35" s="69">
        <f t="shared" si="6"/>
        <v>23.25</v>
      </c>
      <c r="J35" s="69">
        <f t="shared" si="6"/>
        <v>179</v>
      </c>
      <c r="K35" s="69">
        <f t="shared" si="6"/>
        <v>492.04999999999995</v>
      </c>
      <c r="L35" s="69">
        <f t="shared" si="6"/>
        <v>216</v>
      </c>
      <c r="M35" s="69">
        <f t="shared" si="6"/>
        <v>1394.45</v>
      </c>
      <c r="O35" s="108"/>
    </row>
    <row r="36" spans="1:13" ht="16.5">
      <c r="A36" s="61" t="s">
        <v>53</v>
      </c>
      <c r="B36" s="61" t="s">
        <v>22</v>
      </c>
      <c r="C36" s="70">
        <v>42480</v>
      </c>
      <c r="D36" s="78" t="s">
        <v>79</v>
      </c>
      <c r="E36" s="61">
        <v>43217</v>
      </c>
      <c r="F36" s="71" t="s">
        <v>94</v>
      </c>
      <c r="G36" s="63"/>
      <c r="H36" s="63"/>
      <c r="I36" s="63">
        <f>26+53.5</f>
        <v>79.5</v>
      </c>
      <c r="J36" s="63"/>
      <c r="K36" s="63"/>
      <c r="L36" s="63"/>
      <c r="M36" s="63">
        <f aca="true" t="shared" si="7" ref="M36:M46">SUM(G36:L36)</f>
        <v>79.5</v>
      </c>
    </row>
    <row r="37" spans="1:13" ht="16.5">
      <c r="A37" s="62" t="s">
        <v>53</v>
      </c>
      <c r="B37" s="61" t="s">
        <v>22</v>
      </c>
      <c r="C37" s="70">
        <v>42480</v>
      </c>
      <c r="D37" s="78" t="s">
        <v>79</v>
      </c>
      <c r="E37" s="61">
        <v>42460</v>
      </c>
      <c r="F37" s="71" t="s">
        <v>94</v>
      </c>
      <c r="G37" s="63"/>
      <c r="H37" s="63"/>
      <c r="I37" s="63">
        <v>52</v>
      </c>
      <c r="J37" s="63"/>
      <c r="K37" s="63"/>
      <c r="L37" s="63"/>
      <c r="M37" s="63">
        <f t="shared" si="7"/>
        <v>52</v>
      </c>
    </row>
    <row r="38" spans="1:13" ht="16.5">
      <c r="A38" s="62" t="s">
        <v>53</v>
      </c>
      <c r="B38" s="61" t="s">
        <v>22</v>
      </c>
      <c r="C38" s="70">
        <v>42480</v>
      </c>
      <c r="D38" s="78" t="s">
        <v>86</v>
      </c>
      <c r="E38" s="61">
        <v>42453</v>
      </c>
      <c r="F38" s="71" t="s">
        <v>94</v>
      </c>
      <c r="G38" s="63"/>
      <c r="H38" s="63"/>
      <c r="I38" s="63">
        <v>52.5</v>
      </c>
      <c r="J38" s="63"/>
      <c r="K38" s="63"/>
      <c r="L38" s="63"/>
      <c r="M38" s="63">
        <f t="shared" si="7"/>
        <v>52.5</v>
      </c>
    </row>
    <row r="39" spans="1:13" ht="16.5">
      <c r="A39" s="62" t="s">
        <v>53</v>
      </c>
      <c r="B39" s="61" t="s">
        <v>22</v>
      </c>
      <c r="C39" s="70">
        <v>42480</v>
      </c>
      <c r="D39" s="78" t="s">
        <v>90</v>
      </c>
      <c r="E39" s="61">
        <v>42445</v>
      </c>
      <c r="F39" s="71" t="s">
        <v>94</v>
      </c>
      <c r="G39" s="63"/>
      <c r="H39" s="63"/>
      <c r="I39" s="63">
        <v>52.5</v>
      </c>
      <c r="J39" s="63"/>
      <c r="K39" s="63"/>
      <c r="L39" s="63"/>
      <c r="M39" s="63">
        <f t="shared" si="7"/>
        <v>52.5</v>
      </c>
    </row>
    <row r="40" spans="1:13" ht="16.5">
      <c r="A40" s="62" t="s">
        <v>53</v>
      </c>
      <c r="B40" s="61" t="s">
        <v>22</v>
      </c>
      <c r="C40" s="70">
        <v>42480</v>
      </c>
      <c r="D40" s="78" t="s">
        <v>69</v>
      </c>
      <c r="E40" s="61">
        <v>42438</v>
      </c>
      <c r="F40" s="71" t="s">
        <v>94</v>
      </c>
      <c r="G40" s="63"/>
      <c r="H40" s="63"/>
      <c r="I40" s="63">
        <v>52.5</v>
      </c>
      <c r="J40" s="63"/>
      <c r="K40" s="63"/>
      <c r="L40" s="63"/>
      <c r="M40" s="63">
        <f t="shared" si="7"/>
        <v>52.5</v>
      </c>
    </row>
    <row r="41" spans="1:13" ht="16.5">
      <c r="A41" s="62" t="s">
        <v>53</v>
      </c>
      <c r="B41" s="61" t="s">
        <v>22</v>
      </c>
      <c r="C41" s="70">
        <v>42480</v>
      </c>
      <c r="D41" s="78" t="s">
        <v>95</v>
      </c>
      <c r="E41" s="61">
        <v>42397</v>
      </c>
      <c r="F41" s="71" t="s">
        <v>37</v>
      </c>
      <c r="G41" s="63"/>
      <c r="H41" s="63"/>
      <c r="I41" s="63">
        <v>-47.5</v>
      </c>
      <c r="J41" s="63"/>
      <c r="K41" s="63"/>
      <c r="L41" s="63"/>
      <c r="M41" s="63">
        <f t="shared" si="7"/>
        <v>-47.5</v>
      </c>
    </row>
    <row r="42" spans="1:13" ht="16.5">
      <c r="A42" s="62" t="s">
        <v>53</v>
      </c>
      <c r="B42" s="61" t="s">
        <v>22</v>
      </c>
      <c r="C42" s="70">
        <v>42495</v>
      </c>
      <c r="D42" s="78" t="s">
        <v>90</v>
      </c>
      <c r="E42" s="61">
        <v>42536</v>
      </c>
      <c r="F42" s="71" t="s">
        <v>94</v>
      </c>
      <c r="G42" s="63"/>
      <c r="H42" s="63"/>
      <c r="I42" s="63">
        <f>28+28</f>
        <v>56</v>
      </c>
      <c r="J42" s="63"/>
      <c r="K42" s="63"/>
      <c r="L42" s="63"/>
      <c r="M42" s="63">
        <f t="shared" si="7"/>
        <v>56</v>
      </c>
    </row>
    <row r="43" spans="1:13" ht="16.5">
      <c r="A43" s="62" t="s">
        <v>53</v>
      </c>
      <c r="B43" s="61" t="s">
        <v>22</v>
      </c>
      <c r="C43" s="70">
        <v>42495</v>
      </c>
      <c r="D43" s="78" t="s">
        <v>79</v>
      </c>
      <c r="E43" s="61">
        <v>42516</v>
      </c>
      <c r="F43" s="71" t="s">
        <v>94</v>
      </c>
      <c r="G43" s="63"/>
      <c r="H43" s="63"/>
      <c r="I43" s="63">
        <v>53.5</v>
      </c>
      <c r="J43" s="63"/>
      <c r="K43" s="63"/>
      <c r="L43" s="63"/>
      <c r="M43" s="63">
        <f t="shared" si="7"/>
        <v>53.5</v>
      </c>
    </row>
    <row r="44" spans="1:13" ht="16.5">
      <c r="A44" s="62" t="s">
        <v>53</v>
      </c>
      <c r="B44" s="61" t="s">
        <v>22</v>
      </c>
      <c r="C44" s="70">
        <v>42495</v>
      </c>
      <c r="D44" s="78" t="s">
        <v>79</v>
      </c>
      <c r="E44" s="61">
        <v>42545</v>
      </c>
      <c r="F44" s="71" t="s">
        <v>94</v>
      </c>
      <c r="G44" s="63"/>
      <c r="H44" s="63"/>
      <c r="I44" s="63">
        <v>55</v>
      </c>
      <c r="J44" s="63"/>
      <c r="K44" s="63"/>
      <c r="L44" s="63"/>
      <c r="M44" s="63">
        <f t="shared" si="7"/>
        <v>55</v>
      </c>
    </row>
    <row r="45" spans="1:13" ht="16.5">
      <c r="A45" s="62" t="s">
        <v>53</v>
      </c>
      <c r="B45" s="61" t="s">
        <v>22</v>
      </c>
      <c r="C45" s="70">
        <v>42495</v>
      </c>
      <c r="D45" s="78" t="s">
        <v>69</v>
      </c>
      <c r="E45" s="61">
        <v>42501</v>
      </c>
      <c r="F45" s="71" t="s">
        <v>94</v>
      </c>
      <c r="G45" s="63"/>
      <c r="H45" s="63"/>
      <c r="I45" s="63">
        <v>53.5</v>
      </c>
      <c r="J45" s="63"/>
      <c r="K45" s="63"/>
      <c r="L45" s="63"/>
      <c r="M45" s="63">
        <f t="shared" si="7"/>
        <v>53.5</v>
      </c>
    </row>
    <row r="46" spans="1:13" ht="16.5">
      <c r="A46" s="62" t="s">
        <v>53</v>
      </c>
      <c r="B46" s="61" t="s">
        <v>22</v>
      </c>
      <c r="C46" s="70">
        <v>42495</v>
      </c>
      <c r="D46" s="78" t="s">
        <v>96</v>
      </c>
      <c r="E46" s="61">
        <v>42494</v>
      </c>
      <c r="F46" s="71" t="s">
        <v>94</v>
      </c>
      <c r="G46" s="63"/>
      <c r="H46" s="63"/>
      <c r="I46" s="63">
        <v>55</v>
      </c>
      <c r="J46" s="63"/>
      <c r="K46" s="63"/>
      <c r="L46" s="63"/>
      <c r="M46" s="63">
        <f t="shared" si="7"/>
        <v>55</v>
      </c>
    </row>
    <row r="47" spans="1:15" ht="16.5">
      <c r="A47" s="64" t="s">
        <v>54</v>
      </c>
      <c r="B47" s="65"/>
      <c r="C47" s="68"/>
      <c r="D47" s="67"/>
      <c r="E47" s="68"/>
      <c r="F47" s="65"/>
      <c r="G47" s="69">
        <f aca="true" t="shared" si="8" ref="G47:M47">SUBTOTAL(9,G36:G46)</f>
        <v>0</v>
      </c>
      <c r="H47" s="69">
        <f t="shared" si="8"/>
        <v>0</v>
      </c>
      <c r="I47" s="69">
        <f t="shared" si="8"/>
        <v>514.5</v>
      </c>
      <c r="J47" s="69">
        <f t="shared" si="8"/>
        <v>0</v>
      </c>
      <c r="K47" s="69">
        <f t="shared" si="8"/>
        <v>0</v>
      </c>
      <c r="L47" s="69">
        <f t="shared" si="8"/>
        <v>0</v>
      </c>
      <c r="M47" s="69">
        <f t="shared" si="8"/>
        <v>514.5</v>
      </c>
      <c r="O47" s="108"/>
    </row>
    <row r="48" spans="1:17" ht="16.5">
      <c r="A48" s="62" t="s">
        <v>19</v>
      </c>
      <c r="B48" s="62" t="s">
        <v>22</v>
      </c>
      <c r="C48" s="79">
        <v>42480</v>
      </c>
      <c r="D48" s="78" t="s">
        <v>86</v>
      </c>
      <c r="E48" s="70">
        <v>42453</v>
      </c>
      <c r="F48" s="71" t="s">
        <v>87</v>
      </c>
      <c r="G48" s="63"/>
      <c r="H48" s="63"/>
      <c r="I48" s="63">
        <v>67.1</v>
      </c>
      <c r="J48" s="63">
        <v>5.7</v>
      </c>
      <c r="K48" s="63"/>
      <c r="L48" s="63">
        <v>0</v>
      </c>
      <c r="M48" s="63">
        <f aca="true" t="shared" si="9" ref="M48:M56">SUM(G48:L48)</f>
        <v>72.8</v>
      </c>
      <c r="Q48" s="80"/>
    </row>
    <row r="49" spans="1:17" ht="16.5">
      <c r="A49" s="62" t="s">
        <v>19</v>
      </c>
      <c r="B49" s="62" t="s">
        <v>22</v>
      </c>
      <c r="C49" s="70">
        <v>42508</v>
      </c>
      <c r="D49" s="78" t="s">
        <v>69</v>
      </c>
      <c r="E49" s="70">
        <v>42501</v>
      </c>
      <c r="F49" s="71" t="s">
        <v>87</v>
      </c>
      <c r="G49" s="63"/>
      <c r="H49" s="63"/>
      <c r="I49" s="63">
        <v>67.1</v>
      </c>
      <c r="J49" s="63">
        <v>5.7</v>
      </c>
      <c r="K49" s="63"/>
      <c r="L49" s="63"/>
      <c r="M49" s="63">
        <f t="shared" si="9"/>
        <v>72.8</v>
      </c>
      <c r="Q49" s="80"/>
    </row>
    <row r="50" spans="1:17" ht="16.5">
      <c r="A50" s="62" t="s">
        <v>19</v>
      </c>
      <c r="B50" s="62" t="s">
        <v>22</v>
      </c>
      <c r="C50" s="79">
        <v>42508</v>
      </c>
      <c r="D50" s="79" t="s">
        <v>96</v>
      </c>
      <c r="E50" s="70">
        <v>42495</v>
      </c>
      <c r="F50" s="71" t="s">
        <v>87</v>
      </c>
      <c r="G50" s="63"/>
      <c r="H50" s="63"/>
      <c r="I50" s="63">
        <v>67.1</v>
      </c>
      <c r="J50" s="63">
        <v>5.7</v>
      </c>
      <c r="K50" s="63"/>
      <c r="L50" s="63"/>
      <c r="M50" s="63">
        <f t="shared" si="9"/>
        <v>72.8</v>
      </c>
      <c r="Q50" s="80"/>
    </row>
    <row r="51" spans="1:17" ht="16.5">
      <c r="A51" s="62" t="s">
        <v>19</v>
      </c>
      <c r="B51" s="62" t="s">
        <v>22</v>
      </c>
      <c r="C51" s="79">
        <v>42536</v>
      </c>
      <c r="D51" s="79" t="s">
        <v>97</v>
      </c>
      <c r="E51" s="70">
        <v>42529</v>
      </c>
      <c r="F51" s="71" t="s">
        <v>87</v>
      </c>
      <c r="G51" s="63"/>
      <c r="H51" s="63"/>
      <c r="I51" s="63">
        <v>67.1</v>
      </c>
      <c r="J51" s="63">
        <v>5.7</v>
      </c>
      <c r="K51" s="63"/>
      <c r="L51" s="63"/>
      <c r="M51" s="63">
        <f t="shared" si="9"/>
        <v>72.8</v>
      </c>
      <c r="Q51" s="80"/>
    </row>
    <row r="52" spans="1:17" ht="16.5">
      <c r="A52" s="62" t="s">
        <v>19</v>
      </c>
      <c r="B52" s="62" t="s">
        <v>22</v>
      </c>
      <c r="C52" s="79">
        <v>42543</v>
      </c>
      <c r="D52" s="79" t="s">
        <v>98</v>
      </c>
      <c r="E52" s="70">
        <v>42534</v>
      </c>
      <c r="F52" s="71" t="s">
        <v>87</v>
      </c>
      <c r="G52" s="63"/>
      <c r="H52" s="63"/>
      <c r="I52" s="63">
        <v>73.3</v>
      </c>
      <c r="J52" s="63">
        <v>5.7</v>
      </c>
      <c r="K52" s="63"/>
      <c r="L52" s="63"/>
      <c r="M52" s="63">
        <f t="shared" si="9"/>
        <v>79</v>
      </c>
      <c r="Q52" s="80"/>
    </row>
    <row r="53" spans="1:17" ht="16.5">
      <c r="A53" s="64" t="s">
        <v>23</v>
      </c>
      <c r="B53" s="65"/>
      <c r="C53" s="66"/>
      <c r="D53" s="67"/>
      <c r="E53" s="68"/>
      <c r="F53" s="65"/>
      <c r="G53" s="69">
        <f>SUBTOTAL(9,G48:G52)</f>
        <v>0</v>
      </c>
      <c r="H53" s="69">
        <f aca="true" t="shared" si="10" ref="H53:M53">SUBTOTAL(9,H48:H52)</f>
        <v>0</v>
      </c>
      <c r="I53" s="69">
        <f t="shared" si="10"/>
        <v>341.7</v>
      </c>
      <c r="J53" s="69">
        <f t="shared" si="10"/>
        <v>28.5</v>
      </c>
      <c r="K53" s="69">
        <f t="shared" si="10"/>
        <v>0</v>
      </c>
      <c r="L53" s="69">
        <f t="shared" si="10"/>
        <v>0</v>
      </c>
      <c r="M53" s="69">
        <f t="shared" si="10"/>
        <v>370.2</v>
      </c>
      <c r="O53" s="108"/>
      <c r="Q53" s="80"/>
    </row>
    <row r="54" spans="1:17" ht="16.5">
      <c r="A54" s="62" t="s">
        <v>56</v>
      </c>
      <c r="B54" s="62" t="s">
        <v>22</v>
      </c>
      <c r="C54" s="79">
        <v>42503</v>
      </c>
      <c r="D54" s="79" t="s">
        <v>69</v>
      </c>
      <c r="E54" s="70">
        <v>42389</v>
      </c>
      <c r="F54" s="71" t="s">
        <v>99</v>
      </c>
      <c r="G54" s="63"/>
      <c r="H54" s="63"/>
      <c r="I54" s="63"/>
      <c r="J54" s="63">
        <v>32</v>
      </c>
      <c r="K54" s="63"/>
      <c r="L54" s="63"/>
      <c r="M54" s="63">
        <f t="shared" si="9"/>
        <v>32</v>
      </c>
      <c r="Q54" s="80"/>
    </row>
    <row r="55" spans="1:17" ht="16.5">
      <c r="A55" s="62" t="s">
        <v>56</v>
      </c>
      <c r="B55" s="62" t="s">
        <v>22</v>
      </c>
      <c r="C55" s="79">
        <v>42537</v>
      </c>
      <c r="D55" s="79" t="s">
        <v>69</v>
      </c>
      <c r="E55" s="70">
        <v>42438</v>
      </c>
      <c r="F55" s="71" t="s">
        <v>99</v>
      </c>
      <c r="G55" s="63"/>
      <c r="H55" s="63"/>
      <c r="I55" s="63"/>
      <c r="J55" s="63">
        <v>23</v>
      </c>
      <c r="K55" s="63"/>
      <c r="L55" s="63"/>
      <c r="M55" s="63">
        <f t="shared" si="9"/>
        <v>23</v>
      </c>
      <c r="Q55" s="80"/>
    </row>
    <row r="56" spans="1:17" ht="16.5">
      <c r="A56" s="62" t="s">
        <v>56</v>
      </c>
      <c r="B56" s="62" t="s">
        <v>22</v>
      </c>
      <c r="C56" s="79">
        <v>42544</v>
      </c>
      <c r="D56" s="79" t="s">
        <v>69</v>
      </c>
      <c r="E56" s="70">
        <v>42501</v>
      </c>
      <c r="F56" s="71" t="s">
        <v>99</v>
      </c>
      <c r="G56" s="63"/>
      <c r="H56" s="63"/>
      <c r="I56" s="63"/>
      <c r="J56" s="63">
        <v>25.35</v>
      </c>
      <c r="K56" s="63"/>
      <c r="L56" s="63"/>
      <c r="M56" s="63">
        <f t="shared" si="9"/>
        <v>25.35</v>
      </c>
      <c r="Q56" s="80"/>
    </row>
    <row r="57" spans="1:17" ht="16.5">
      <c r="A57" s="64" t="s">
        <v>56</v>
      </c>
      <c r="B57" s="65"/>
      <c r="C57" s="66"/>
      <c r="D57" s="67"/>
      <c r="E57" s="68"/>
      <c r="F57" s="65"/>
      <c r="G57" s="69">
        <f>SUBTOTAL(9,G54:G56)</f>
        <v>0</v>
      </c>
      <c r="H57" s="69">
        <f aca="true" t="shared" si="11" ref="H57:M57">SUBTOTAL(9,H54:H56)</f>
        <v>0</v>
      </c>
      <c r="I57" s="69">
        <f t="shared" si="11"/>
        <v>0</v>
      </c>
      <c r="J57" s="69">
        <f t="shared" si="11"/>
        <v>80.35</v>
      </c>
      <c r="K57" s="69">
        <f t="shared" si="11"/>
        <v>0</v>
      </c>
      <c r="L57" s="69">
        <f t="shared" si="11"/>
        <v>0</v>
      </c>
      <c r="M57" s="69">
        <f t="shared" si="11"/>
        <v>80.35</v>
      </c>
      <c r="O57" s="108"/>
      <c r="Q57" s="80"/>
    </row>
    <row r="58" spans="1:13" ht="16.5">
      <c r="A58" s="62" t="s">
        <v>58</v>
      </c>
      <c r="B58" s="62" t="s">
        <v>22</v>
      </c>
      <c r="C58" s="70">
        <v>42482</v>
      </c>
      <c r="D58" s="78" t="s">
        <v>86</v>
      </c>
      <c r="E58" s="70">
        <v>42453</v>
      </c>
      <c r="F58" s="63" t="s">
        <v>99</v>
      </c>
      <c r="G58" s="63">
        <v>0</v>
      </c>
      <c r="H58" s="63"/>
      <c r="I58" s="63">
        <v>0</v>
      </c>
      <c r="J58" s="63">
        <v>15.75</v>
      </c>
      <c r="K58" s="63">
        <v>0</v>
      </c>
      <c r="L58" s="63"/>
      <c r="M58" s="63">
        <f aca="true" t="shared" si="12" ref="M58:M65">SUM(G58:L58)</f>
        <v>15.75</v>
      </c>
    </row>
    <row r="59" spans="1:13" ht="16.5">
      <c r="A59" s="62" t="s">
        <v>58</v>
      </c>
      <c r="B59" s="62" t="s">
        <v>22</v>
      </c>
      <c r="C59" s="70" t="s">
        <v>89</v>
      </c>
      <c r="D59" s="78" t="s">
        <v>69</v>
      </c>
      <c r="E59" s="70">
        <v>42501</v>
      </c>
      <c r="F59" s="63" t="s">
        <v>99</v>
      </c>
      <c r="G59" s="63"/>
      <c r="H59" s="63"/>
      <c r="I59" s="63">
        <v>230</v>
      </c>
      <c r="J59" s="63">
        <v>7.65</v>
      </c>
      <c r="K59" s="63">
        <v>0</v>
      </c>
      <c r="L59" s="63"/>
      <c r="M59" s="63">
        <f t="shared" si="12"/>
        <v>237.65</v>
      </c>
    </row>
    <row r="60" spans="1:13" ht="16.5">
      <c r="A60" s="62" t="s">
        <v>58</v>
      </c>
      <c r="B60" s="62" t="s">
        <v>22</v>
      </c>
      <c r="C60" s="70" t="s">
        <v>100</v>
      </c>
      <c r="D60" s="78" t="s">
        <v>98</v>
      </c>
      <c r="E60" s="70">
        <v>42534</v>
      </c>
      <c r="F60" s="63" t="s">
        <v>99</v>
      </c>
      <c r="G60" s="63"/>
      <c r="H60" s="63"/>
      <c r="I60" s="63">
        <v>241</v>
      </c>
      <c r="J60" s="63">
        <v>15.5</v>
      </c>
      <c r="K60" s="63"/>
      <c r="L60" s="63"/>
      <c r="M60" s="63">
        <f t="shared" si="12"/>
        <v>256.5</v>
      </c>
    </row>
    <row r="61" spans="1:15" ht="16.5">
      <c r="A61" s="64" t="s">
        <v>58</v>
      </c>
      <c r="B61" s="65"/>
      <c r="C61" s="66"/>
      <c r="D61" s="67"/>
      <c r="E61" s="68"/>
      <c r="F61" s="65"/>
      <c r="G61" s="69">
        <f>SUBTOTAL(9,G58:G60)</f>
        <v>0</v>
      </c>
      <c r="H61" s="69">
        <f aca="true" t="shared" si="13" ref="H61:M61">SUBTOTAL(9,H58:H60)</f>
        <v>0</v>
      </c>
      <c r="I61" s="69">
        <f t="shared" si="13"/>
        <v>471</v>
      </c>
      <c r="J61" s="69">
        <f t="shared" si="13"/>
        <v>38.9</v>
      </c>
      <c r="K61" s="69">
        <f t="shared" si="13"/>
        <v>0</v>
      </c>
      <c r="L61" s="69">
        <f t="shared" si="13"/>
        <v>0</v>
      </c>
      <c r="M61" s="69">
        <f t="shared" si="13"/>
        <v>509.9</v>
      </c>
      <c r="O61" s="108"/>
    </row>
    <row r="62" spans="1:13" ht="16.5">
      <c r="A62" s="62" t="s">
        <v>25</v>
      </c>
      <c r="B62" s="62" t="s">
        <v>22</v>
      </c>
      <c r="C62" s="79">
        <v>42480</v>
      </c>
      <c r="D62" s="78" t="s">
        <v>69</v>
      </c>
      <c r="E62" s="70">
        <v>42438</v>
      </c>
      <c r="F62" s="63" t="s">
        <v>101</v>
      </c>
      <c r="G62" s="63"/>
      <c r="H62" s="63"/>
      <c r="I62" s="63">
        <v>82.5</v>
      </c>
      <c r="J62" s="63"/>
      <c r="K62" s="63"/>
      <c r="L62" s="63"/>
      <c r="M62" s="63">
        <f t="shared" si="12"/>
        <v>82.5</v>
      </c>
    </row>
    <row r="63" spans="1:13" ht="16.5">
      <c r="A63" s="62" t="s">
        <v>25</v>
      </c>
      <c r="B63" s="62" t="s">
        <v>22</v>
      </c>
      <c r="C63" s="79">
        <v>42480</v>
      </c>
      <c r="D63" s="78" t="s">
        <v>96</v>
      </c>
      <c r="E63" s="70">
        <v>42446</v>
      </c>
      <c r="F63" s="63" t="s">
        <v>101</v>
      </c>
      <c r="G63" s="63"/>
      <c r="H63" s="63"/>
      <c r="I63" s="63">
        <v>82.5</v>
      </c>
      <c r="J63" s="63"/>
      <c r="K63" s="63"/>
      <c r="L63" s="63"/>
      <c r="M63" s="63">
        <f t="shared" si="12"/>
        <v>82.5</v>
      </c>
    </row>
    <row r="64" spans="1:15" ht="16.5">
      <c r="A64" s="64" t="s">
        <v>40</v>
      </c>
      <c r="B64" s="65" t="s">
        <v>22</v>
      </c>
      <c r="C64" s="66"/>
      <c r="D64" s="67"/>
      <c r="E64" s="68"/>
      <c r="F64" s="65"/>
      <c r="G64" s="69">
        <f>SUBTOTAL(9,G62:G63)</f>
        <v>0</v>
      </c>
      <c r="H64" s="69">
        <f aca="true" t="shared" si="14" ref="H64:M64">SUBTOTAL(9,H62:H63)</f>
        <v>0</v>
      </c>
      <c r="I64" s="69">
        <f t="shared" si="14"/>
        <v>165</v>
      </c>
      <c r="J64" s="69">
        <f t="shared" si="14"/>
        <v>0</v>
      </c>
      <c r="K64" s="69">
        <f t="shared" si="14"/>
        <v>0</v>
      </c>
      <c r="L64" s="69">
        <f t="shared" si="14"/>
        <v>0</v>
      </c>
      <c r="M64" s="69">
        <f t="shared" si="14"/>
        <v>165</v>
      </c>
      <c r="O64" s="108"/>
    </row>
    <row r="65" spans="1:13" ht="16.5">
      <c r="A65" s="62" t="s">
        <v>47</v>
      </c>
      <c r="B65" s="62" t="s">
        <v>22</v>
      </c>
      <c r="C65" s="79">
        <v>42508</v>
      </c>
      <c r="D65" s="78" t="s">
        <v>69</v>
      </c>
      <c r="E65" s="70">
        <v>42501</v>
      </c>
      <c r="F65" s="63" t="s">
        <v>102</v>
      </c>
      <c r="G65" s="63"/>
      <c r="H65" s="63">
        <v>0</v>
      </c>
      <c r="I65" s="63">
        <v>112</v>
      </c>
      <c r="J65" s="63">
        <v>12</v>
      </c>
      <c r="K65" s="63"/>
      <c r="L65" s="63"/>
      <c r="M65" s="63">
        <f t="shared" si="12"/>
        <v>124</v>
      </c>
    </row>
    <row r="66" spans="1:15" ht="16.5">
      <c r="A66" s="64" t="s">
        <v>48</v>
      </c>
      <c r="B66" s="65" t="s">
        <v>22</v>
      </c>
      <c r="C66" s="66"/>
      <c r="D66" s="67"/>
      <c r="E66" s="68"/>
      <c r="F66" s="65"/>
      <c r="G66" s="69">
        <f>SUBTOTAL(9,G65:G65)</f>
        <v>0</v>
      </c>
      <c r="H66" s="69">
        <f aca="true" t="shared" si="15" ref="H66:M66">SUBTOTAL(9,H65:H65)</f>
        <v>0</v>
      </c>
      <c r="I66" s="69">
        <f t="shared" si="15"/>
        <v>112</v>
      </c>
      <c r="J66" s="69">
        <f t="shared" si="15"/>
        <v>12</v>
      </c>
      <c r="K66" s="69">
        <f t="shared" si="15"/>
        <v>0</v>
      </c>
      <c r="L66" s="69">
        <f t="shared" si="15"/>
        <v>0</v>
      </c>
      <c r="M66" s="69">
        <f t="shared" si="15"/>
        <v>124</v>
      </c>
      <c r="O66" s="108"/>
    </row>
    <row r="67" spans="1:13" ht="16.5">
      <c r="A67" s="62" t="s">
        <v>59</v>
      </c>
      <c r="B67" s="62" t="s">
        <v>22</v>
      </c>
      <c r="C67" s="79">
        <v>42524</v>
      </c>
      <c r="D67" s="78" t="s">
        <v>69</v>
      </c>
      <c r="E67" s="70">
        <v>42501</v>
      </c>
      <c r="F67" s="63" t="s">
        <v>103</v>
      </c>
      <c r="G67" s="63"/>
      <c r="H67" s="63"/>
      <c r="I67" s="63">
        <v>70.8</v>
      </c>
      <c r="J67" s="63">
        <v>5.5</v>
      </c>
      <c r="K67" s="63"/>
      <c r="L67" s="63"/>
      <c r="M67" s="63">
        <f>SUM(G67:L67)</f>
        <v>76.3</v>
      </c>
    </row>
    <row r="68" spans="1:13" ht="16.5">
      <c r="A68" s="62" t="s">
        <v>59</v>
      </c>
      <c r="B68" s="62" t="s">
        <v>22</v>
      </c>
      <c r="C68" s="79">
        <v>42524</v>
      </c>
      <c r="D68" s="78" t="s">
        <v>86</v>
      </c>
      <c r="E68" s="70">
        <v>42453</v>
      </c>
      <c r="F68" s="63" t="s">
        <v>103</v>
      </c>
      <c r="G68" s="63"/>
      <c r="H68" s="63"/>
      <c r="I68" s="63">
        <v>70.8</v>
      </c>
      <c r="J68" s="63">
        <v>5.5</v>
      </c>
      <c r="K68" s="63"/>
      <c r="L68" s="63"/>
      <c r="M68" s="63">
        <f>SUM(G68:L68)</f>
        <v>76.3</v>
      </c>
    </row>
    <row r="69" spans="1:15" ht="16.5">
      <c r="A69" s="64" t="s">
        <v>59</v>
      </c>
      <c r="B69" s="65" t="s">
        <v>22</v>
      </c>
      <c r="C69" s="66"/>
      <c r="D69" s="67"/>
      <c r="E69" s="68"/>
      <c r="F69" s="65"/>
      <c r="G69" s="69">
        <f>SUBTOTAL(9,G67:G68)</f>
        <v>0</v>
      </c>
      <c r="H69" s="69">
        <f aca="true" t="shared" si="16" ref="H69:M69">SUBTOTAL(9,H67:H68)</f>
        <v>0</v>
      </c>
      <c r="I69" s="69">
        <f t="shared" si="16"/>
        <v>141.6</v>
      </c>
      <c r="J69" s="69">
        <f t="shared" si="16"/>
        <v>11</v>
      </c>
      <c r="K69" s="69">
        <f t="shared" si="16"/>
        <v>0</v>
      </c>
      <c r="L69" s="69">
        <f t="shared" si="16"/>
        <v>0</v>
      </c>
      <c r="M69" s="69">
        <f t="shared" si="16"/>
        <v>152.6</v>
      </c>
      <c r="O69" s="108"/>
    </row>
    <row r="70" spans="1:15" ht="17.25" thickBot="1">
      <c r="A70" s="82"/>
      <c r="B70" s="82"/>
      <c r="C70" s="83"/>
      <c r="D70" s="82"/>
      <c r="E70" s="82"/>
      <c r="F70" s="84"/>
      <c r="G70" s="85">
        <f aca="true" t="shared" si="17" ref="G70:M70">SUBTOTAL(9,G3:G69)</f>
        <v>1218.8899999999999</v>
      </c>
      <c r="H70" s="85">
        <f t="shared" si="17"/>
        <v>201.8</v>
      </c>
      <c r="I70" s="85">
        <f t="shared" si="17"/>
        <v>3420.7</v>
      </c>
      <c r="J70" s="85">
        <f t="shared" si="17"/>
        <v>750.4200000000002</v>
      </c>
      <c r="K70" s="85">
        <f t="shared" si="17"/>
        <v>1548.6399999999996</v>
      </c>
      <c r="L70" s="85">
        <f t="shared" si="17"/>
        <v>355.69</v>
      </c>
      <c r="M70" s="85">
        <f t="shared" si="17"/>
        <v>7496.14</v>
      </c>
      <c r="N70" s="108"/>
      <c r="O70" s="108"/>
    </row>
    <row r="71" spans="1:18" ht="17.25" thickTop="1">
      <c r="A71" s="86"/>
      <c r="B71" s="86"/>
      <c r="C71" s="87"/>
      <c r="D71" s="86"/>
      <c r="E71" s="86"/>
      <c r="F71" s="86"/>
      <c r="G71" s="88"/>
      <c r="H71" s="88"/>
      <c r="I71" s="88"/>
      <c r="J71" s="88"/>
      <c r="K71" s="88"/>
      <c r="L71" s="88"/>
      <c r="M71" s="88"/>
      <c r="R71" s="89"/>
    </row>
    <row r="72" spans="5:6" ht="16.5">
      <c r="E72" s="90"/>
      <c r="F72" s="90"/>
    </row>
    <row r="73" spans="1:13" ht="17.25" thickBot="1">
      <c r="A73" s="86"/>
      <c r="B73" s="86"/>
      <c r="C73" s="87"/>
      <c r="D73" s="86"/>
      <c r="E73" s="86"/>
      <c r="F73" s="86"/>
      <c r="G73" s="88"/>
      <c r="H73" s="88"/>
      <c r="I73" s="88"/>
      <c r="J73" s="88"/>
      <c r="K73" s="88"/>
      <c r="L73" s="88"/>
      <c r="M73" s="88"/>
    </row>
    <row r="74" spans="1:13" ht="17.25" thickBot="1">
      <c r="A74" s="86"/>
      <c r="B74" s="86"/>
      <c r="C74" s="86"/>
      <c r="D74" s="86"/>
      <c r="E74" s="86"/>
      <c r="F74" s="91" t="s">
        <v>28</v>
      </c>
      <c r="G74" s="92"/>
      <c r="H74" s="92"/>
      <c r="I74" s="92"/>
      <c r="J74" s="92"/>
      <c r="K74" s="92"/>
      <c r="L74" s="92"/>
      <c r="M74" s="93"/>
    </row>
    <row r="75" spans="1:13" ht="52.5">
      <c r="A75" s="86"/>
      <c r="B75" s="86"/>
      <c r="C75" s="86"/>
      <c r="D75" s="86"/>
      <c r="E75" s="86"/>
      <c r="F75" s="94"/>
      <c r="G75" s="95" t="s">
        <v>6</v>
      </c>
      <c r="H75" s="96" t="s">
        <v>29</v>
      </c>
      <c r="I75" s="96" t="s">
        <v>8</v>
      </c>
      <c r="J75" s="96" t="s">
        <v>9</v>
      </c>
      <c r="K75" s="96" t="s">
        <v>10</v>
      </c>
      <c r="L75" s="96" t="s">
        <v>11</v>
      </c>
      <c r="M75" s="97" t="s">
        <v>30</v>
      </c>
    </row>
    <row r="76" spans="1:13" ht="16.5">
      <c r="A76" s="86"/>
      <c r="B76" s="86"/>
      <c r="C76" s="98"/>
      <c r="D76" s="86"/>
      <c r="E76" s="86"/>
      <c r="F76" s="99" t="s">
        <v>31</v>
      </c>
      <c r="G76" s="100">
        <f>G70-G77</f>
        <v>1218.8899999999999</v>
      </c>
      <c r="H76" s="100">
        <f aca="true" t="shared" si="18" ref="H76:M76">H70-H77</f>
        <v>201.8</v>
      </c>
      <c r="I76" s="100">
        <f t="shared" si="18"/>
        <v>3420.7</v>
      </c>
      <c r="J76" s="100">
        <f t="shared" si="18"/>
        <v>750.4200000000002</v>
      </c>
      <c r="K76" s="100">
        <f t="shared" si="18"/>
        <v>1548.6399999999996</v>
      </c>
      <c r="L76" s="100">
        <f t="shared" si="18"/>
        <v>355.69</v>
      </c>
      <c r="M76" s="100">
        <f t="shared" si="18"/>
        <v>7496.14</v>
      </c>
    </row>
    <row r="77" spans="1:13" ht="16.5">
      <c r="A77" s="86"/>
      <c r="B77" s="86"/>
      <c r="C77" s="98"/>
      <c r="D77" s="86"/>
      <c r="E77" s="86"/>
      <c r="F77" s="99" t="s">
        <v>32</v>
      </c>
      <c r="G77" s="100">
        <f aca="true" t="shared" si="19" ref="G77:L77">G3</f>
        <v>0</v>
      </c>
      <c r="H77" s="100">
        <f t="shared" si="19"/>
        <v>0</v>
      </c>
      <c r="I77" s="100">
        <f t="shared" si="19"/>
        <v>0</v>
      </c>
      <c r="J77" s="100">
        <f t="shared" si="19"/>
        <v>0</v>
      </c>
      <c r="K77" s="100">
        <f t="shared" si="19"/>
        <v>0</v>
      </c>
      <c r="L77" s="100">
        <f t="shared" si="19"/>
        <v>0</v>
      </c>
      <c r="M77" s="100">
        <f>SUM(G77:L77)</f>
        <v>0</v>
      </c>
    </row>
    <row r="78" spans="1:13" ht="16.5">
      <c r="A78" s="86"/>
      <c r="B78" s="86"/>
      <c r="C78" s="98"/>
      <c r="D78" s="86"/>
      <c r="E78" s="86"/>
      <c r="F78" s="101" t="s">
        <v>33</v>
      </c>
      <c r="G78" s="102">
        <f aca="true" t="shared" si="20" ref="G78:L78">SUM(G76:G77)</f>
        <v>1218.8899999999999</v>
      </c>
      <c r="H78" s="102">
        <f t="shared" si="20"/>
        <v>201.8</v>
      </c>
      <c r="I78" s="102">
        <f t="shared" si="20"/>
        <v>3420.7</v>
      </c>
      <c r="J78" s="102">
        <f t="shared" si="20"/>
        <v>750.4200000000002</v>
      </c>
      <c r="K78" s="102">
        <f t="shared" si="20"/>
        <v>1548.6399999999996</v>
      </c>
      <c r="L78" s="102">
        <f t="shared" si="20"/>
        <v>355.69</v>
      </c>
      <c r="M78" s="100">
        <f>SUM(G78:L78)</f>
        <v>7496.1399999999985</v>
      </c>
    </row>
    <row r="79" spans="1:13" ht="16.5">
      <c r="A79" s="86"/>
      <c r="B79" s="86"/>
      <c r="C79" s="98"/>
      <c r="D79" s="86"/>
      <c r="E79" s="86"/>
      <c r="F79" s="99" t="s">
        <v>34</v>
      </c>
      <c r="G79" s="103" t="s">
        <v>37</v>
      </c>
      <c r="H79" s="103"/>
      <c r="I79" s="103" t="s">
        <v>37</v>
      </c>
      <c r="J79" s="103" t="s">
        <v>37</v>
      </c>
      <c r="K79" s="103" t="s">
        <v>37</v>
      </c>
      <c r="L79" s="103" t="s">
        <v>37</v>
      </c>
      <c r="M79" s="100">
        <f>SUM(G79:L79)</f>
        <v>0</v>
      </c>
    </row>
    <row r="80" spans="1:13" ht="16.5">
      <c r="A80" s="86"/>
      <c r="B80" s="86"/>
      <c r="C80" s="98"/>
      <c r="D80" s="86"/>
      <c r="E80" s="86"/>
      <c r="F80" s="99" t="s">
        <v>45</v>
      </c>
      <c r="G80" s="103" t="s">
        <v>37</v>
      </c>
      <c r="H80" s="104"/>
      <c r="I80" s="103" t="s">
        <v>37</v>
      </c>
      <c r="J80" s="103" t="s">
        <v>37</v>
      </c>
      <c r="K80" s="103" t="s">
        <v>37</v>
      </c>
      <c r="L80" s="103" t="s">
        <v>37</v>
      </c>
      <c r="M80" s="100">
        <f>SUM(G80:L80)</f>
        <v>0</v>
      </c>
    </row>
    <row r="81" spans="1:13" ht="17.25" thickBot="1">
      <c r="A81" s="86"/>
      <c r="B81" s="86"/>
      <c r="C81" s="98"/>
      <c r="D81" s="86"/>
      <c r="E81" s="86"/>
      <c r="F81" s="105" t="s">
        <v>35</v>
      </c>
      <c r="G81" s="106">
        <f aca="true" t="shared" si="21" ref="G81:L81">SUM(G78:G80)</f>
        <v>1218.8899999999999</v>
      </c>
      <c r="H81" s="106">
        <f t="shared" si="21"/>
        <v>201.8</v>
      </c>
      <c r="I81" s="106">
        <f t="shared" si="21"/>
        <v>3420.7</v>
      </c>
      <c r="J81" s="106">
        <f t="shared" si="21"/>
        <v>750.4200000000002</v>
      </c>
      <c r="K81" s="106">
        <f t="shared" si="21"/>
        <v>1548.6399999999996</v>
      </c>
      <c r="L81" s="106">
        <f t="shared" si="21"/>
        <v>355.69</v>
      </c>
      <c r="M81" s="107">
        <f>SUM(G81:L81)</f>
        <v>7496.1399999999985</v>
      </c>
    </row>
    <row r="82" spans="1:13" ht="16.5">
      <c r="A82" s="86"/>
      <c r="B82" s="86"/>
      <c r="C82" s="86"/>
      <c r="D82" s="86"/>
      <c r="E82" s="86"/>
      <c r="F82" s="86"/>
      <c r="G82" s="88"/>
      <c r="H82" s="88"/>
      <c r="I82" s="88"/>
      <c r="J82" s="88"/>
      <c r="K82" s="88"/>
      <c r="L82" s="88"/>
      <c r="M82" s="8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zoomScalePageLayoutView="0" workbookViewId="0" topLeftCell="A1">
      <pane xSplit="1" ySplit="2" topLeftCell="B2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4" sqref="B54"/>
    </sheetView>
  </sheetViews>
  <sheetFormatPr defaultColWidth="9.140625" defaultRowHeight="15"/>
  <cols>
    <col min="1" max="1" width="13.421875" style="49" customWidth="1"/>
    <col min="2" max="2" width="21.00390625" style="49" customWidth="1"/>
    <col min="3" max="3" width="21.7109375" style="49" customWidth="1"/>
    <col min="4" max="4" width="19.57421875" style="49" customWidth="1"/>
    <col min="5" max="5" width="19.140625" style="49" bestFit="1" customWidth="1"/>
    <col min="6" max="6" width="20.8515625" style="49" customWidth="1"/>
    <col min="7" max="7" width="8.140625" style="49" customWidth="1"/>
    <col min="8" max="8" width="9.140625" style="49" customWidth="1"/>
    <col min="9" max="9" width="10.7109375" style="49" customWidth="1"/>
    <col min="10" max="14" width="9.140625" style="49" customWidth="1"/>
    <col min="15" max="15" width="10.00390625" style="49" bestFit="1" customWidth="1"/>
    <col min="16" max="18" width="9.140625" style="49" customWidth="1"/>
    <col min="19" max="19" width="17.00390625" style="49" customWidth="1"/>
    <col min="20" max="16384" width="9.140625" style="49" customWidth="1"/>
  </cols>
  <sheetData>
    <row r="1" spans="1:13" ht="23.25">
      <c r="A1" s="55" t="s">
        <v>141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  <c r="M1" s="56"/>
    </row>
    <row r="2" spans="1:13" ht="52.5">
      <c r="A2" s="57" t="s">
        <v>0</v>
      </c>
      <c r="B2" s="57" t="s">
        <v>1</v>
      </c>
      <c r="C2" s="58" t="s">
        <v>2</v>
      </c>
      <c r="D2" s="57" t="s">
        <v>3</v>
      </c>
      <c r="E2" s="57" t="s">
        <v>4</v>
      </c>
      <c r="F2" s="59" t="s">
        <v>5</v>
      </c>
      <c r="G2" s="60" t="s">
        <v>6</v>
      </c>
      <c r="H2" s="60" t="s">
        <v>7</v>
      </c>
      <c r="I2" s="60" t="s">
        <v>8</v>
      </c>
      <c r="J2" s="60" t="s">
        <v>41</v>
      </c>
      <c r="K2" s="60" t="s">
        <v>10</v>
      </c>
      <c r="L2" s="60" t="s">
        <v>11</v>
      </c>
      <c r="M2" s="60" t="s">
        <v>12</v>
      </c>
    </row>
    <row r="3" spans="1:13" ht="16.5">
      <c r="A3" s="61" t="s">
        <v>13</v>
      </c>
      <c r="B3" s="61" t="s">
        <v>14</v>
      </c>
      <c r="C3" s="70">
        <v>42618</v>
      </c>
      <c r="D3" s="62" t="s">
        <v>139</v>
      </c>
      <c r="E3" s="70">
        <v>42621</v>
      </c>
      <c r="F3" s="62" t="s">
        <v>133</v>
      </c>
      <c r="G3" s="63"/>
      <c r="H3" s="63"/>
      <c r="I3" s="63">
        <v>154.2</v>
      </c>
      <c r="J3" s="63"/>
      <c r="K3" s="63"/>
      <c r="L3" s="63"/>
      <c r="M3" s="63">
        <f>SUM(G3:L3)</f>
        <v>154.2</v>
      </c>
    </row>
    <row r="4" spans="1:15" ht="16.5">
      <c r="A4" s="64" t="s">
        <v>15</v>
      </c>
      <c r="B4" s="65"/>
      <c r="C4" s="66"/>
      <c r="D4" s="67"/>
      <c r="E4" s="68"/>
      <c r="F4" s="65"/>
      <c r="G4" s="69">
        <f>SUBTOTAL(9,G3:G3)</f>
        <v>0</v>
      </c>
      <c r="H4" s="69">
        <f aca="true" t="shared" si="0" ref="H4:M4">SUBTOTAL(9,H3:H3)</f>
        <v>0</v>
      </c>
      <c r="I4" s="69">
        <f t="shared" si="0"/>
        <v>154.2</v>
      </c>
      <c r="J4" s="69">
        <f t="shared" si="0"/>
        <v>0</v>
      </c>
      <c r="K4" s="69">
        <f t="shared" si="0"/>
        <v>0</v>
      </c>
      <c r="L4" s="69">
        <f t="shared" si="0"/>
        <v>0</v>
      </c>
      <c r="M4" s="69">
        <f t="shared" si="0"/>
        <v>154.2</v>
      </c>
      <c r="N4" s="109"/>
      <c r="O4" s="108"/>
    </row>
    <row r="5" spans="1:13" ht="16.5">
      <c r="A5" s="61" t="s">
        <v>49</v>
      </c>
      <c r="B5" s="61" t="s">
        <v>16</v>
      </c>
      <c r="C5" s="70">
        <v>42618</v>
      </c>
      <c r="D5" s="62" t="s">
        <v>138</v>
      </c>
      <c r="E5" s="70">
        <v>42648</v>
      </c>
      <c r="F5" s="62" t="s">
        <v>132</v>
      </c>
      <c r="G5" s="63"/>
      <c r="H5" s="63"/>
      <c r="I5" s="63">
        <v>38.5</v>
      </c>
      <c r="J5" s="63"/>
      <c r="K5" s="63"/>
      <c r="L5" s="63"/>
      <c r="M5" s="63">
        <f>SUM(G5:L5)</f>
        <v>38.5</v>
      </c>
    </row>
    <row r="6" spans="1:15" ht="16.5">
      <c r="A6" s="64" t="s">
        <v>17</v>
      </c>
      <c r="B6" s="65"/>
      <c r="C6" s="66"/>
      <c r="D6" s="67"/>
      <c r="E6" s="68"/>
      <c r="F6" s="65"/>
      <c r="G6" s="69">
        <f aca="true" t="shared" si="1" ref="G6:M6">SUBTOTAL(9,G5:G5)</f>
        <v>0</v>
      </c>
      <c r="H6" s="69">
        <f t="shared" si="1"/>
        <v>0</v>
      </c>
      <c r="I6" s="69">
        <f t="shared" si="1"/>
        <v>38.5</v>
      </c>
      <c r="J6" s="69">
        <f t="shared" si="1"/>
        <v>0</v>
      </c>
      <c r="K6" s="69">
        <f t="shared" si="1"/>
        <v>0</v>
      </c>
      <c r="L6" s="69">
        <f t="shared" si="1"/>
        <v>0</v>
      </c>
      <c r="M6" s="69">
        <f t="shared" si="1"/>
        <v>38.5</v>
      </c>
      <c r="N6" s="109"/>
      <c r="O6" s="108"/>
    </row>
    <row r="7" spans="1:16" ht="16.5">
      <c r="A7" s="61" t="s">
        <v>43</v>
      </c>
      <c r="B7" s="61" t="s">
        <v>50</v>
      </c>
      <c r="C7" s="70">
        <v>42594</v>
      </c>
      <c r="D7" s="62" t="s">
        <v>104</v>
      </c>
      <c r="E7" s="70">
        <v>42591</v>
      </c>
      <c r="F7" s="71" t="s">
        <v>105</v>
      </c>
      <c r="G7" s="63"/>
      <c r="H7" s="63"/>
      <c r="I7" s="63">
        <v>25.9</v>
      </c>
      <c r="J7" s="63">
        <f>6+6</f>
        <v>12</v>
      </c>
      <c r="K7" s="63">
        <v>0</v>
      </c>
      <c r="L7" s="63"/>
      <c r="M7" s="63">
        <f>SUM(G7:L7)</f>
        <v>37.9</v>
      </c>
      <c r="P7" s="111"/>
    </row>
    <row r="8" spans="1:16" ht="16.5">
      <c r="A8" s="61" t="s">
        <v>43</v>
      </c>
      <c r="B8" s="61" t="s">
        <v>50</v>
      </c>
      <c r="C8" s="70">
        <v>42641</v>
      </c>
      <c r="D8" s="62" t="s">
        <v>106</v>
      </c>
      <c r="E8" s="70" t="s">
        <v>107</v>
      </c>
      <c r="F8" s="71" t="s">
        <v>108</v>
      </c>
      <c r="G8" s="63"/>
      <c r="H8" s="63"/>
      <c r="I8" s="63">
        <f>9.2+9.2+25.9</f>
        <v>44.3</v>
      </c>
      <c r="J8" s="63">
        <f>9.6+9.6+6+6</f>
        <v>31.2</v>
      </c>
      <c r="K8" s="63"/>
      <c r="L8" s="63"/>
      <c r="M8" s="63">
        <f>SUM(G8:L8)</f>
        <v>75.5</v>
      </c>
      <c r="P8" s="111"/>
    </row>
    <row r="9" spans="1:16" ht="16.5">
      <c r="A9" s="64" t="s">
        <v>44</v>
      </c>
      <c r="B9" s="65"/>
      <c r="C9" s="66"/>
      <c r="D9" s="67"/>
      <c r="E9" s="68"/>
      <c r="F9" s="65"/>
      <c r="G9" s="69">
        <f aca="true" t="shared" si="2" ref="G9:M9">SUBTOTAL(9,G7:G8)</f>
        <v>0</v>
      </c>
      <c r="H9" s="69">
        <f t="shared" si="2"/>
        <v>0</v>
      </c>
      <c r="I9" s="69">
        <f t="shared" si="2"/>
        <v>70.19999999999999</v>
      </c>
      <c r="J9" s="69">
        <f t="shared" si="2"/>
        <v>43.2</v>
      </c>
      <c r="K9" s="69">
        <f t="shared" si="2"/>
        <v>0</v>
      </c>
      <c r="L9" s="69">
        <f t="shared" si="2"/>
        <v>0</v>
      </c>
      <c r="M9" s="69">
        <f t="shared" si="2"/>
        <v>113.4</v>
      </c>
      <c r="O9" s="110"/>
      <c r="P9" s="108"/>
    </row>
    <row r="10" spans="1:13" ht="16.5">
      <c r="A10" s="72" t="s">
        <v>39</v>
      </c>
      <c r="B10" s="73" t="s">
        <v>57</v>
      </c>
      <c r="C10" s="74"/>
      <c r="D10" s="75"/>
      <c r="E10" s="76"/>
      <c r="F10" s="73"/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</row>
    <row r="11" spans="1:13" ht="16.5">
      <c r="A11" s="61" t="s">
        <v>18</v>
      </c>
      <c r="B11" s="61" t="s">
        <v>36</v>
      </c>
      <c r="C11" s="61">
        <v>42552</v>
      </c>
      <c r="D11" s="62" t="s">
        <v>71</v>
      </c>
      <c r="E11" s="70">
        <v>42480</v>
      </c>
      <c r="F11" s="62" t="s">
        <v>70</v>
      </c>
      <c r="G11" s="63"/>
      <c r="H11" s="63"/>
      <c r="I11" s="63">
        <v>340.17</v>
      </c>
      <c r="J11" s="63">
        <v>24</v>
      </c>
      <c r="K11" s="63">
        <v>10.5</v>
      </c>
      <c r="L11" s="63">
        <v>0</v>
      </c>
      <c r="M11" s="63">
        <f aca="true" t="shared" si="3" ref="M11:M22">SUM(G11:L11)</f>
        <v>374.67</v>
      </c>
    </row>
    <row r="12" spans="1:13" ht="16.5">
      <c r="A12" s="61" t="s">
        <v>18</v>
      </c>
      <c r="B12" s="61" t="s">
        <v>36</v>
      </c>
      <c r="C12" s="61">
        <v>42552</v>
      </c>
      <c r="D12" s="62" t="s">
        <v>71</v>
      </c>
      <c r="E12" s="70">
        <v>42487</v>
      </c>
      <c r="F12" s="62" t="s">
        <v>70</v>
      </c>
      <c r="G12" s="63"/>
      <c r="H12" s="63"/>
      <c r="I12" s="63">
        <v>340.17</v>
      </c>
      <c r="J12" s="63">
        <v>26</v>
      </c>
      <c r="K12" s="63">
        <v>12.23</v>
      </c>
      <c r="L12" s="63"/>
      <c r="M12" s="63">
        <f t="shared" si="3"/>
        <v>378.40000000000003</v>
      </c>
    </row>
    <row r="13" spans="1:13" ht="16.5">
      <c r="A13" s="61" t="s">
        <v>18</v>
      </c>
      <c r="B13" s="61" t="s">
        <v>36</v>
      </c>
      <c r="C13" s="61">
        <v>42552</v>
      </c>
      <c r="D13" s="78" t="s">
        <v>71</v>
      </c>
      <c r="E13" s="70">
        <v>42528</v>
      </c>
      <c r="F13" s="62" t="s">
        <v>70</v>
      </c>
      <c r="G13" s="63"/>
      <c r="H13" s="63"/>
      <c r="I13" s="63">
        <v>340.17</v>
      </c>
      <c r="J13" s="63">
        <v>16.5</v>
      </c>
      <c r="K13" s="63">
        <v>4.5</v>
      </c>
      <c r="L13" s="63"/>
      <c r="M13" s="63">
        <f t="shared" si="3"/>
        <v>361.17</v>
      </c>
    </row>
    <row r="14" spans="1:13" ht="16.5">
      <c r="A14" s="61" t="s">
        <v>18</v>
      </c>
      <c r="B14" s="61" t="s">
        <v>36</v>
      </c>
      <c r="C14" s="61">
        <v>42552</v>
      </c>
      <c r="D14" s="78" t="s">
        <v>71</v>
      </c>
      <c r="E14" s="70">
        <v>42515</v>
      </c>
      <c r="F14" s="62" t="s">
        <v>70</v>
      </c>
      <c r="G14" s="63"/>
      <c r="H14" s="63"/>
      <c r="I14" s="63">
        <v>340.17</v>
      </c>
      <c r="J14" s="63">
        <v>23</v>
      </c>
      <c r="K14" s="63">
        <v>4.5</v>
      </c>
      <c r="L14" s="63"/>
      <c r="M14" s="63">
        <f t="shared" si="3"/>
        <v>367.67</v>
      </c>
    </row>
    <row r="15" spans="1:13" ht="16.5">
      <c r="A15" s="62" t="s">
        <v>18</v>
      </c>
      <c r="B15" s="61" t="s">
        <v>36</v>
      </c>
      <c r="C15" s="61">
        <v>42552</v>
      </c>
      <c r="D15" s="78" t="s">
        <v>109</v>
      </c>
      <c r="E15" s="70" t="s">
        <v>110</v>
      </c>
      <c r="F15" s="62" t="s">
        <v>70</v>
      </c>
      <c r="G15" s="63"/>
      <c r="H15" s="63"/>
      <c r="I15" s="63">
        <v>340.17</v>
      </c>
      <c r="J15" s="63">
        <v>22</v>
      </c>
      <c r="K15" s="63">
        <v>10.83</v>
      </c>
      <c r="L15" s="63"/>
      <c r="M15" s="63">
        <f t="shared" si="3"/>
        <v>373</v>
      </c>
    </row>
    <row r="16" spans="1:13" ht="16.5">
      <c r="A16" s="62" t="s">
        <v>18</v>
      </c>
      <c r="B16" s="61" t="s">
        <v>36</v>
      </c>
      <c r="C16" s="61">
        <v>42552</v>
      </c>
      <c r="D16" s="78" t="s">
        <v>111</v>
      </c>
      <c r="E16" s="70" t="s">
        <v>112</v>
      </c>
      <c r="F16" s="62" t="s">
        <v>70</v>
      </c>
      <c r="G16" s="63"/>
      <c r="H16" s="63"/>
      <c r="I16" s="63">
        <v>340.17</v>
      </c>
      <c r="J16" s="63">
        <v>22</v>
      </c>
      <c r="K16" s="63">
        <v>11.59</v>
      </c>
      <c r="L16" s="63"/>
      <c r="M16" s="63">
        <f t="shared" si="3"/>
        <v>373.76</v>
      </c>
    </row>
    <row r="17" spans="1:13" ht="16.5">
      <c r="A17" s="62" t="s">
        <v>18</v>
      </c>
      <c r="B17" s="61" t="s">
        <v>36</v>
      </c>
      <c r="C17" s="61">
        <v>42552</v>
      </c>
      <c r="D17" s="78" t="s">
        <v>71</v>
      </c>
      <c r="E17" s="70">
        <v>42509</v>
      </c>
      <c r="F17" s="62" t="s">
        <v>70</v>
      </c>
      <c r="G17" s="63"/>
      <c r="H17" s="63"/>
      <c r="I17" s="63">
        <v>340.17</v>
      </c>
      <c r="J17" s="63">
        <v>16</v>
      </c>
      <c r="K17" s="63">
        <v>19.14</v>
      </c>
      <c r="L17" s="63"/>
      <c r="M17" s="63">
        <f t="shared" si="3"/>
        <v>375.31</v>
      </c>
    </row>
    <row r="18" spans="1:13" ht="16.5">
      <c r="A18" s="62" t="s">
        <v>18</v>
      </c>
      <c r="B18" s="61" t="s">
        <v>36</v>
      </c>
      <c r="C18" s="61">
        <v>42555</v>
      </c>
      <c r="D18" s="78" t="s">
        <v>71</v>
      </c>
      <c r="E18" s="70">
        <v>42535</v>
      </c>
      <c r="F18" s="62" t="s">
        <v>70</v>
      </c>
      <c r="G18" s="63"/>
      <c r="H18" s="63"/>
      <c r="I18" s="63">
        <v>340.17</v>
      </c>
      <c r="J18" s="63">
        <v>22</v>
      </c>
      <c r="K18" s="63">
        <v>11.73</v>
      </c>
      <c r="L18" s="63">
        <v>0</v>
      </c>
      <c r="M18" s="63">
        <f t="shared" si="3"/>
        <v>373.90000000000003</v>
      </c>
    </row>
    <row r="19" spans="1:13" ht="16.5">
      <c r="A19" s="62" t="s">
        <v>18</v>
      </c>
      <c r="B19" s="61" t="s">
        <v>36</v>
      </c>
      <c r="C19" s="61">
        <v>42569</v>
      </c>
      <c r="D19" s="78" t="s">
        <v>71</v>
      </c>
      <c r="E19" s="70">
        <v>42544</v>
      </c>
      <c r="F19" s="62" t="s">
        <v>70</v>
      </c>
      <c r="G19" s="63"/>
      <c r="H19" s="63"/>
      <c r="I19" s="63">
        <v>340.17</v>
      </c>
      <c r="J19" s="63">
        <v>27.5</v>
      </c>
      <c r="K19" s="63">
        <v>12.65</v>
      </c>
      <c r="L19" s="63"/>
      <c r="M19" s="63">
        <f t="shared" si="3"/>
        <v>380.32</v>
      </c>
    </row>
    <row r="20" spans="1:13" ht="16.5">
      <c r="A20" s="62" t="s">
        <v>18</v>
      </c>
      <c r="B20" s="61" t="s">
        <v>36</v>
      </c>
      <c r="C20" s="61">
        <v>42569</v>
      </c>
      <c r="D20" s="78" t="s">
        <v>71</v>
      </c>
      <c r="E20" s="70">
        <v>42550</v>
      </c>
      <c r="F20" s="62" t="s">
        <v>70</v>
      </c>
      <c r="G20" s="63"/>
      <c r="H20" s="63"/>
      <c r="I20" s="63">
        <v>340.17</v>
      </c>
      <c r="J20" s="63">
        <v>23</v>
      </c>
      <c r="K20" s="63">
        <v>11</v>
      </c>
      <c r="L20" s="63"/>
      <c r="M20" s="63">
        <f t="shared" si="3"/>
        <v>374.17</v>
      </c>
    </row>
    <row r="21" spans="1:13" ht="16.5">
      <c r="A21" s="62" t="s">
        <v>18</v>
      </c>
      <c r="B21" s="61" t="s">
        <v>36</v>
      </c>
      <c r="C21" s="61">
        <v>42569</v>
      </c>
      <c r="D21" s="78" t="s">
        <v>113</v>
      </c>
      <c r="E21" s="70">
        <v>42517</v>
      </c>
      <c r="F21" s="62" t="s">
        <v>114</v>
      </c>
      <c r="G21" s="63"/>
      <c r="H21" s="63"/>
      <c r="I21" s="63">
        <v>5.2</v>
      </c>
      <c r="J21" s="63">
        <v>77.4</v>
      </c>
      <c r="K21" s="63"/>
      <c r="L21" s="63"/>
      <c r="M21" s="63">
        <f t="shared" si="3"/>
        <v>82.60000000000001</v>
      </c>
    </row>
    <row r="22" spans="1:13" ht="16.5">
      <c r="A22" s="62" t="s">
        <v>18</v>
      </c>
      <c r="B22" s="61" t="s">
        <v>36</v>
      </c>
      <c r="C22" s="61">
        <v>42576</v>
      </c>
      <c r="D22" s="78" t="s">
        <v>109</v>
      </c>
      <c r="E22" s="70">
        <v>42557</v>
      </c>
      <c r="F22" s="62" t="s">
        <v>70</v>
      </c>
      <c r="G22" s="63"/>
      <c r="H22" s="63"/>
      <c r="I22" s="63">
        <v>340.17</v>
      </c>
      <c r="J22" s="63">
        <v>16</v>
      </c>
      <c r="K22" s="63">
        <v>8.5</v>
      </c>
      <c r="L22" s="63"/>
      <c r="M22" s="63">
        <f t="shared" si="3"/>
        <v>364.67</v>
      </c>
    </row>
    <row r="23" spans="1:17" ht="16.5">
      <c r="A23" s="64" t="s">
        <v>20</v>
      </c>
      <c r="B23" s="65"/>
      <c r="C23" s="66"/>
      <c r="D23" s="67"/>
      <c r="E23" s="68"/>
      <c r="F23" s="65"/>
      <c r="G23" s="69">
        <f aca="true" t="shared" si="4" ref="G23:M23">SUBTOTAL(9,G11:G22)</f>
        <v>0</v>
      </c>
      <c r="H23" s="69">
        <f t="shared" si="4"/>
        <v>0</v>
      </c>
      <c r="I23" s="69">
        <f t="shared" si="4"/>
        <v>3747.07</v>
      </c>
      <c r="J23" s="69">
        <f t="shared" si="4"/>
        <v>315.4</v>
      </c>
      <c r="K23" s="69">
        <f t="shared" si="4"/>
        <v>117.17000000000002</v>
      </c>
      <c r="L23" s="69">
        <f t="shared" si="4"/>
        <v>0</v>
      </c>
      <c r="M23" s="69">
        <f t="shared" si="4"/>
        <v>4179.64</v>
      </c>
      <c r="N23" s="109"/>
      <c r="O23" s="108"/>
      <c r="Q23" s="49" t="s">
        <v>77</v>
      </c>
    </row>
    <row r="24" spans="1:13" ht="15.75" customHeight="1">
      <c r="A24" s="61" t="s">
        <v>26</v>
      </c>
      <c r="B24" s="62" t="s">
        <v>22</v>
      </c>
      <c r="C24" s="70" t="s">
        <v>125</v>
      </c>
      <c r="D24" s="78" t="s">
        <v>79</v>
      </c>
      <c r="E24" s="70" t="s">
        <v>115</v>
      </c>
      <c r="F24" s="78" t="s">
        <v>82</v>
      </c>
      <c r="G24" s="63">
        <v>238.64</v>
      </c>
      <c r="H24" s="63">
        <v>0</v>
      </c>
      <c r="I24" s="63">
        <f>36</f>
        <v>36</v>
      </c>
      <c r="J24" s="63">
        <v>23</v>
      </c>
      <c r="K24" s="63">
        <f>16.81+203.4</f>
        <v>220.21</v>
      </c>
      <c r="L24" s="63">
        <v>3.9</v>
      </c>
      <c r="M24" s="63">
        <f>SUM(G24:L24)</f>
        <v>521.75</v>
      </c>
    </row>
    <row r="25" spans="1:14" ht="15.75" customHeight="1">
      <c r="A25" s="61" t="s">
        <v>26</v>
      </c>
      <c r="B25" s="62" t="s">
        <v>22</v>
      </c>
      <c r="C25" s="70">
        <v>42599</v>
      </c>
      <c r="D25" s="78" t="s">
        <v>79</v>
      </c>
      <c r="E25" s="70">
        <v>42488</v>
      </c>
      <c r="F25" s="78" t="s">
        <v>82</v>
      </c>
      <c r="G25" s="63">
        <v>0</v>
      </c>
      <c r="H25" s="63"/>
      <c r="I25" s="63">
        <v>31.1</v>
      </c>
      <c r="J25" s="63">
        <v>25</v>
      </c>
      <c r="K25" s="63">
        <v>8.95</v>
      </c>
      <c r="L25" s="63"/>
      <c r="M25" s="63">
        <f>SUM(G25:L25)</f>
        <v>65.05</v>
      </c>
      <c r="N25" s="109"/>
    </row>
    <row r="26" spans="1:13" ht="15.75" customHeight="1">
      <c r="A26" s="61" t="s">
        <v>26</v>
      </c>
      <c r="B26" s="62" t="s">
        <v>22</v>
      </c>
      <c r="C26" s="70" t="s">
        <v>126</v>
      </c>
      <c r="D26" s="78" t="s">
        <v>79</v>
      </c>
      <c r="E26" s="70">
        <v>42607</v>
      </c>
      <c r="F26" s="78" t="s">
        <v>82</v>
      </c>
      <c r="G26" s="63">
        <f>232.64+147.81</f>
        <v>380.45</v>
      </c>
      <c r="H26" s="63"/>
      <c r="I26" s="63">
        <v>36</v>
      </c>
      <c r="J26" s="63">
        <v>42</v>
      </c>
      <c r="K26" s="63">
        <f>6.45+138.6</f>
        <v>145.04999999999998</v>
      </c>
      <c r="L26" s="63"/>
      <c r="M26" s="63">
        <f>SUM(G26:L26)</f>
        <v>603.5</v>
      </c>
    </row>
    <row r="27" spans="1:13" ht="16.5">
      <c r="A27" s="61" t="s">
        <v>26</v>
      </c>
      <c r="B27" s="62" t="s">
        <v>22</v>
      </c>
      <c r="C27" s="70">
        <v>42591</v>
      </c>
      <c r="D27" s="78" t="s">
        <v>140</v>
      </c>
      <c r="E27" s="70">
        <v>42563</v>
      </c>
      <c r="F27" s="78" t="s">
        <v>82</v>
      </c>
      <c r="G27" s="63">
        <v>0</v>
      </c>
      <c r="H27" s="63"/>
      <c r="I27" s="63">
        <v>0</v>
      </c>
      <c r="J27" s="63">
        <v>0</v>
      </c>
      <c r="K27" s="63">
        <v>227.4</v>
      </c>
      <c r="L27" s="63"/>
      <c r="M27" s="63">
        <f>SUM(G27:L27)</f>
        <v>227.4</v>
      </c>
    </row>
    <row r="28" spans="1:13" ht="16.5">
      <c r="A28" s="61" t="s">
        <v>26</v>
      </c>
      <c r="B28" s="62" t="s">
        <v>22</v>
      </c>
      <c r="C28" s="70">
        <v>42618</v>
      </c>
      <c r="D28" s="78" t="s">
        <v>109</v>
      </c>
      <c r="E28" s="70">
        <v>42626</v>
      </c>
      <c r="F28" s="78" t="s">
        <v>82</v>
      </c>
      <c r="G28" s="63">
        <v>82.83</v>
      </c>
      <c r="H28" s="63"/>
      <c r="I28" s="63"/>
      <c r="J28" s="63"/>
      <c r="K28" s="63">
        <v>0</v>
      </c>
      <c r="L28" s="63"/>
      <c r="M28" s="63">
        <f>SUM(G28:L28)</f>
        <v>82.83</v>
      </c>
    </row>
    <row r="29" spans="1:13" ht="16.5">
      <c r="A29" s="61" t="s">
        <v>26</v>
      </c>
      <c r="B29" s="62" t="s">
        <v>22</v>
      </c>
      <c r="C29" s="70">
        <v>42618</v>
      </c>
      <c r="D29" s="78" t="s">
        <v>120</v>
      </c>
      <c r="E29" s="70">
        <v>42630</v>
      </c>
      <c r="F29" s="78" t="s">
        <v>82</v>
      </c>
      <c r="G29" s="63">
        <v>72.32</v>
      </c>
      <c r="H29" s="63"/>
      <c r="I29" s="63"/>
      <c r="J29" s="63"/>
      <c r="K29" s="63"/>
      <c r="L29" s="63">
        <v>0</v>
      </c>
      <c r="M29" s="63">
        <f>SUM(G29:L29)</f>
        <v>72.32</v>
      </c>
    </row>
    <row r="30" spans="1:16" ht="16.5">
      <c r="A30" s="64" t="s">
        <v>27</v>
      </c>
      <c r="B30" s="65"/>
      <c r="C30" s="68"/>
      <c r="D30" s="67"/>
      <c r="E30" s="68"/>
      <c r="F30" s="65"/>
      <c r="G30" s="69">
        <f>SUBTOTAL(9,G24:G29)</f>
        <v>774.24</v>
      </c>
      <c r="H30" s="69">
        <f aca="true" t="shared" si="5" ref="H30:M30">SUBTOTAL(9,H24:H29)</f>
        <v>0</v>
      </c>
      <c r="I30" s="69">
        <f t="shared" si="5"/>
        <v>103.1</v>
      </c>
      <c r="J30" s="69">
        <f t="shared" si="5"/>
        <v>90</v>
      </c>
      <c r="K30" s="69">
        <f t="shared" si="5"/>
        <v>601.61</v>
      </c>
      <c r="L30" s="69">
        <f t="shared" si="5"/>
        <v>3.9</v>
      </c>
      <c r="M30" s="69">
        <f t="shared" si="5"/>
        <v>1572.85</v>
      </c>
      <c r="O30" s="110"/>
      <c r="P30" s="108"/>
    </row>
    <row r="31" spans="1:13" ht="16.5">
      <c r="A31" s="72" t="s">
        <v>46</v>
      </c>
      <c r="B31" s="73" t="s">
        <v>22</v>
      </c>
      <c r="C31" s="74"/>
      <c r="D31" s="75"/>
      <c r="E31" s="76"/>
      <c r="F31" s="73"/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</row>
    <row r="32" spans="1:13" ht="16.5">
      <c r="A32" s="62" t="s">
        <v>51</v>
      </c>
      <c r="B32" s="61" t="s">
        <v>22</v>
      </c>
      <c r="C32" s="70" t="s">
        <v>127</v>
      </c>
      <c r="D32" s="78" t="s">
        <v>116</v>
      </c>
      <c r="E32" s="61" t="s">
        <v>142</v>
      </c>
      <c r="F32" s="78" t="s">
        <v>87</v>
      </c>
      <c r="G32" s="63"/>
      <c r="H32" s="63"/>
      <c r="I32" s="63">
        <f>68.1+68.1+68.1+68.1+68.1</f>
        <v>340.5</v>
      </c>
      <c r="J32" s="63">
        <f>18.6+32.4</f>
        <v>51</v>
      </c>
      <c r="K32" s="63"/>
      <c r="L32" s="63"/>
      <c r="M32" s="63">
        <f>SUM(G32:L32)</f>
        <v>391.5</v>
      </c>
    </row>
    <row r="33" spans="1:15" ht="16.5">
      <c r="A33" s="64" t="s">
        <v>52</v>
      </c>
      <c r="B33" s="65"/>
      <c r="C33" s="68"/>
      <c r="D33" s="67"/>
      <c r="E33" s="68"/>
      <c r="F33" s="65"/>
      <c r="G33" s="69">
        <f aca="true" t="shared" si="6" ref="G33:M33">SUBTOTAL(9,G32:G32)</f>
        <v>0</v>
      </c>
      <c r="H33" s="69">
        <f t="shared" si="6"/>
        <v>0</v>
      </c>
      <c r="I33" s="69">
        <f t="shared" si="6"/>
        <v>340.5</v>
      </c>
      <c r="J33" s="69">
        <f t="shared" si="6"/>
        <v>51</v>
      </c>
      <c r="K33" s="69">
        <f t="shared" si="6"/>
        <v>0</v>
      </c>
      <c r="L33" s="69">
        <f t="shared" si="6"/>
        <v>0</v>
      </c>
      <c r="M33" s="69">
        <f t="shared" si="6"/>
        <v>391.5</v>
      </c>
      <c r="N33" s="109"/>
      <c r="O33" s="108"/>
    </row>
    <row r="34" spans="1:13" ht="16.5">
      <c r="A34" s="62" t="s">
        <v>21</v>
      </c>
      <c r="B34" s="61" t="s">
        <v>22</v>
      </c>
      <c r="C34" s="70" t="s">
        <v>128</v>
      </c>
      <c r="D34" s="78" t="s">
        <v>90</v>
      </c>
      <c r="E34" s="61">
        <v>42536</v>
      </c>
      <c r="F34" s="71" t="s">
        <v>91</v>
      </c>
      <c r="G34" s="63">
        <f>171.15+149.15</f>
        <v>320.3</v>
      </c>
      <c r="H34" s="63"/>
      <c r="I34" s="63">
        <f>5.2+16.65</f>
        <v>21.849999999999998</v>
      </c>
      <c r="J34" s="63">
        <v>22.4</v>
      </c>
      <c r="K34" s="63">
        <f>103.51+20.45</f>
        <v>123.96000000000001</v>
      </c>
      <c r="L34" s="63">
        <v>27.5</v>
      </c>
      <c r="M34" s="63">
        <f>SUM(G34:L34)</f>
        <v>516.01</v>
      </c>
    </row>
    <row r="35" spans="1:13" ht="16.5">
      <c r="A35" s="62" t="s">
        <v>21</v>
      </c>
      <c r="B35" s="61" t="s">
        <v>22</v>
      </c>
      <c r="C35" s="70">
        <v>42579</v>
      </c>
      <c r="D35" s="78" t="s">
        <v>117</v>
      </c>
      <c r="E35" s="61">
        <v>42501</v>
      </c>
      <c r="F35" s="71" t="s">
        <v>91</v>
      </c>
      <c r="G35" s="63">
        <v>0</v>
      </c>
      <c r="H35" s="63"/>
      <c r="I35" s="63">
        <v>2.9</v>
      </c>
      <c r="J35" s="63">
        <f>48+90.45</f>
        <v>138.45</v>
      </c>
      <c r="K35" s="63">
        <f>14.6+18.55</f>
        <v>33.15</v>
      </c>
      <c r="L35" s="63">
        <v>27.5</v>
      </c>
      <c r="M35" s="63">
        <f>SUM(G35:L35)</f>
        <v>202</v>
      </c>
    </row>
    <row r="36" spans="1:13" ht="16.5">
      <c r="A36" s="62" t="s">
        <v>21</v>
      </c>
      <c r="B36" s="61" t="s">
        <v>22</v>
      </c>
      <c r="C36" s="70">
        <v>42579</v>
      </c>
      <c r="D36" s="78" t="s">
        <v>79</v>
      </c>
      <c r="E36" s="61">
        <v>42488</v>
      </c>
      <c r="F36" s="71" t="s">
        <v>91</v>
      </c>
      <c r="G36" s="63"/>
      <c r="H36" s="63"/>
      <c r="I36" s="63">
        <v>0</v>
      </c>
      <c r="J36" s="63">
        <v>6.3</v>
      </c>
      <c r="K36" s="63">
        <v>5</v>
      </c>
      <c r="L36" s="63">
        <v>27.5</v>
      </c>
      <c r="M36" s="63">
        <f>SUM(G36:L36)</f>
        <v>38.8</v>
      </c>
    </row>
    <row r="37" spans="1:13" ht="16.5">
      <c r="A37" s="62" t="s">
        <v>21</v>
      </c>
      <c r="B37" s="61" t="s">
        <v>22</v>
      </c>
      <c r="C37" s="70">
        <v>42579</v>
      </c>
      <c r="D37" s="78" t="s">
        <v>79</v>
      </c>
      <c r="E37" s="61">
        <v>42516</v>
      </c>
      <c r="F37" s="71" t="s">
        <v>91</v>
      </c>
      <c r="G37" s="63">
        <v>0</v>
      </c>
      <c r="H37" s="63"/>
      <c r="I37" s="63">
        <v>0</v>
      </c>
      <c r="J37" s="63">
        <v>0</v>
      </c>
      <c r="K37" s="63">
        <v>0</v>
      </c>
      <c r="L37" s="63">
        <v>27.5</v>
      </c>
      <c r="M37" s="63">
        <f>SUM(G37:L37)</f>
        <v>27.5</v>
      </c>
    </row>
    <row r="38" spans="1:13" ht="16.5">
      <c r="A38" s="62" t="s">
        <v>21</v>
      </c>
      <c r="B38" s="61" t="s">
        <v>22</v>
      </c>
      <c r="C38" s="70">
        <v>42618</v>
      </c>
      <c r="D38" s="78" t="s">
        <v>120</v>
      </c>
      <c r="E38" s="70" t="s">
        <v>129</v>
      </c>
      <c r="F38" s="71" t="s">
        <v>91</v>
      </c>
      <c r="G38" s="63">
        <f>261.75+119.15</f>
        <v>380.9</v>
      </c>
      <c r="H38" s="63"/>
      <c r="I38" s="63">
        <v>0</v>
      </c>
      <c r="J38" s="63">
        <v>0</v>
      </c>
      <c r="K38" s="63">
        <v>0</v>
      </c>
      <c r="L38" s="63">
        <v>0</v>
      </c>
      <c r="M38" s="63">
        <f>SUM(G38:L38)</f>
        <v>380.9</v>
      </c>
    </row>
    <row r="39" spans="1:15" ht="16.5">
      <c r="A39" s="64" t="s">
        <v>38</v>
      </c>
      <c r="B39" s="65"/>
      <c r="C39" s="68"/>
      <c r="D39" s="67"/>
      <c r="E39" s="68"/>
      <c r="F39" s="65"/>
      <c r="G39" s="69">
        <f aca="true" t="shared" si="7" ref="G39:M39">SUBTOTAL(9,G34:G38)</f>
        <v>701.2</v>
      </c>
      <c r="H39" s="69">
        <f t="shared" si="7"/>
        <v>0</v>
      </c>
      <c r="I39" s="69">
        <f t="shared" si="7"/>
        <v>24.749999999999996</v>
      </c>
      <c r="J39" s="69">
        <f t="shared" si="7"/>
        <v>167.15</v>
      </c>
      <c r="K39" s="69">
        <f t="shared" si="7"/>
        <v>162.11</v>
      </c>
      <c r="L39" s="69">
        <f t="shared" si="7"/>
        <v>110</v>
      </c>
      <c r="M39" s="69">
        <f t="shared" si="7"/>
        <v>1165.21</v>
      </c>
      <c r="N39" s="109"/>
      <c r="O39" s="108"/>
    </row>
    <row r="40" spans="1:13" ht="16.5">
      <c r="A40" s="61" t="s">
        <v>53</v>
      </c>
      <c r="B40" s="61" t="s">
        <v>22</v>
      </c>
      <c r="C40" s="70">
        <v>42559</v>
      </c>
      <c r="D40" s="78" t="s">
        <v>79</v>
      </c>
      <c r="E40" s="70" t="s">
        <v>130</v>
      </c>
      <c r="F40" s="71" t="s">
        <v>94</v>
      </c>
      <c r="G40" s="63"/>
      <c r="H40" s="63"/>
      <c r="I40" s="63">
        <f>30.16+28</f>
        <v>58.16</v>
      </c>
      <c r="J40" s="63"/>
      <c r="K40" s="63">
        <f>203.4+0.6</f>
        <v>204</v>
      </c>
      <c r="L40" s="63"/>
      <c r="M40" s="63">
        <f>SUM(G40:L40)</f>
        <v>262.15999999999997</v>
      </c>
    </row>
    <row r="41" spans="1:13" ht="16.5">
      <c r="A41" s="62" t="s">
        <v>53</v>
      </c>
      <c r="B41" s="61" t="s">
        <v>22</v>
      </c>
      <c r="C41" s="70" t="s">
        <v>131</v>
      </c>
      <c r="D41" s="78" t="s">
        <v>69</v>
      </c>
      <c r="E41" s="61">
        <v>42556</v>
      </c>
      <c r="F41" s="71" t="s">
        <v>94</v>
      </c>
      <c r="G41" s="63"/>
      <c r="H41" s="63"/>
      <c r="I41" s="63">
        <v>55</v>
      </c>
      <c r="J41" s="63"/>
      <c r="K41" s="63">
        <v>140.4</v>
      </c>
      <c r="L41" s="63"/>
      <c r="M41" s="63">
        <f>SUM(G41:L41)</f>
        <v>195.4</v>
      </c>
    </row>
    <row r="42" spans="1:13" ht="16.5">
      <c r="A42" s="62" t="s">
        <v>53</v>
      </c>
      <c r="B42" s="61" t="s">
        <v>22</v>
      </c>
      <c r="C42" s="70">
        <v>42559</v>
      </c>
      <c r="D42" s="78" t="s">
        <v>118</v>
      </c>
      <c r="E42" s="61">
        <v>42565</v>
      </c>
      <c r="F42" s="71" t="s">
        <v>94</v>
      </c>
      <c r="G42" s="63"/>
      <c r="H42" s="63"/>
      <c r="I42" s="63">
        <v>53.5</v>
      </c>
      <c r="J42" s="63"/>
      <c r="K42" s="63"/>
      <c r="L42" s="63"/>
      <c r="M42" s="63">
        <f>SUM(G42:L42)</f>
        <v>53.5</v>
      </c>
    </row>
    <row r="43" spans="1:13" ht="16.5">
      <c r="A43" s="62" t="s">
        <v>53</v>
      </c>
      <c r="B43" s="61" t="s">
        <v>22</v>
      </c>
      <c r="C43" s="70">
        <v>42618</v>
      </c>
      <c r="D43" s="78" t="s">
        <v>79</v>
      </c>
      <c r="E43" s="61">
        <v>42607</v>
      </c>
      <c r="F43" s="71" t="s">
        <v>94</v>
      </c>
      <c r="G43" s="63"/>
      <c r="H43" s="63"/>
      <c r="I43" s="63">
        <v>53.5</v>
      </c>
      <c r="J43" s="63"/>
      <c r="K43" s="63"/>
      <c r="L43" s="63"/>
      <c r="M43" s="63">
        <f>SUM(G43:L43)</f>
        <v>53.5</v>
      </c>
    </row>
    <row r="44" spans="1:15" ht="16.5">
      <c r="A44" s="64" t="s">
        <v>54</v>
      </c>
      <c r="B44" s="65"/>
      <c r="C44" s="68"/>
      <c r="D44" s="67"/>
      <c r="E44" s="68"/>
      <c r="F44" s="65"/>
      <c r="G44" s="69">
        <f aca="true" t="shared" si="8" ref="G44:M44">SUBTOTAL(9,G40:G43)</f>
        <v>0</v>
      </c>
      <c r="H44" s="69">
        <f t="shared" si="8"/>
        <v>0</v>
      </c>
      <c r="I44" s="69">
        <f t="shared" si="8"/>
        <v>220.16</v>
      </c>
      <c r="J44" s="69">
        <f t="shared" si="8"/>
        <v>0</v>
      </c>
      <c r="K44" s="69">
        <f t="shared" si="8"/>
        <v>344.4</v>
      </c>
      <c r="L44" s="69">
        <f t="shared" si="8"/>
        <v>0</v>
      </c>
      <c r="M44" s="69">
        <f t="shared" si="8"/>
        <v>564.56</v>
      </c>
      <c r="N44" s="109"/>
      <c r="O44" s="108"/>
    </row>
    <row r="45" spans="1:17" ht="16.5">
      <c r="A45" s="62" t="s">
        <v>19</v>
      </c>
      <c r="B45" s="62" t="s">
        <v>22</v>
      </c>
      <c r="C45" s="79">
        <v>42552</v>
      </c>
      <c r="D45" s="78" t="s">
        <v>118</v>
      </c>
      <c r="E45" s="70">
        <v>42541</v>
      </c>
      <c r="F45" s="71" t="s">
        <v>87</v>
      </c>
      <c r="G45" s="63"/>
      <c r="H45" s="63"/>
      <c r="I45" s="63">
        <v>29.5</v>
      </c>
      <c r="J45" s="63">
        <v>5.7</v>
      </c>
      <c r="K45" s="63"/>
      <c r="L45" s="63">
        <v>0</v>
      </c>
      <c r="M45" s="63">
        <f aca="true" t="shared" si="9" ref="M45:M53">SUM(G45:L45)</f>
        <v>35.2</v>
      </c>
      <c r="Q45" s="80"/>
    </row>
    <row r="46" spans="1:17" ht="16.5">
      <c r="A46" s="62" t="s">
        <v>19</v>
      </c>
      <c r="B46" s="62" t="s">
        <v>22</v>
      </c>
      <c r="C46" s="70">
        <v>42579</v>
      </c>
      <c r="D46" s="78" t="s">
        <v>118</v>
      </c>
      <c r="E46" s="70">
        <v>42565</v>
      </c>
      <c r="F46" s="71" t="s">
        <v>87</v>
      </c>
      <c r="G46" s="63"/>
      <c r="H46" s="63"/>
      <c r="I46" s="63">
        <v>67.1</v>
      </c>
      <c r="J46" s="63">
        <v>5.7</v>
      </c>
      <c r="K46" s="63"/>
      <c r="L46" s="63"/>
      <c r="M46" s="63">
        <f t="shared" si="9"/>
        <v>72.8</v>
      </c>
      <c r="Q46" s="80"/>
    </row>
    <row r="47" spans="1:17" ht="16.5">
      <c r="A47" s="62" t="s">
        <v>19</v>
      </c>
      <c r="B47" s="62" t="s">
        <v>22</v>
      </c>
      <c r="C47" s="79">
        <v>42606</v>
      </c>
      <c r="D47" s="79" t="s">
        <v>119</v>
      </c>
      <c r="E47" s="70">
        <v>42569</v>
      </c>
      <c r="F47" s="71" t="s">
        <v>87</v>
      </c>
      <c r="G47" s="63"/>
      <c r="H47" s="63">
        <v>0</v>
      </c>
      <c r="I47" s="63">
        <v>127.2</v>
      </c>
      <c r="J47" s="63">
        <v>11.4</v>
      </c>
      <c r="K47" s="63"/>
      <c r="L47" s="63"/>
      <c r="M47" s="63">
        <f t="shared" si="9"/>
        <v>138.6</v>
      </c>
      <c r="Q47" s="80"/>
    </row>
    <row r="48" spans="1:17" ht="16.5">
      <c r="A48" s="62" t="s">
        <v>19</v>
      </c>
      <c r="B48" s="62" t="s">
        <v>22</v>
      </c>
      <c r="C48" s="79">
        <v>42634</v>
      </c>
      <c r="D48" s="79" t="s">
        <v>69</v>
      </c>
      <c r="E48" s="70">
        <v>42627</v>
      </c>
      <c r="F48" s="71" t="s">
        <v>87</v>
      </c>
      <c r="G48" s="63"/>
      <c r="H48" s="63"/>
      <c r="I48" s="63">
        <v>67.1</v>
      </c>
      <c r="J48" s="63">
        <v>5.7</v>
      </c>
      <c r="K48" s="63"/>
      <c r="L48" s="63"/>
      <c r="M48" s="63">
        <f t="shared" si="9"/>
        <v>72.8</v>
      </c>
      <c r="Q48" s="80"/>
    </row>
    <row r="49" spans="1:17" ht="16.5">
      <c r="A49" s="62" t="s">
        <v>19</v>
      </c>
      <c r="B49" s="62" t="s">
        <v>22</v>
      </c>
      <c r="C49" s="79">
        <v>42634</v>
      </c>
      <c r="D49" s="79" t="s">
        <v>120</v>
      </c>
      <c r="E49" s="70">
        <v>42628</v>
      </c>
      <c r="F49" s="71" t="s">
        <v>87</v>
      </c>
      <c r="G49" s="63"/>
      <c r="H49" s="63"/>
      <c r="I49" s="63">
        <v>29.5</v>
      </c>
      <c r="J49" s="63">
        <v>5.7</v>
      </c>
      <c r="K49" s="63"/>
      <c r="L49" s="63"/>
      <c r="M49" s="63">
        <f t="shared" si="9"/>
        <v>35.2</v>
      </c>
      <c r="Q49" s="80"/>
    </row>
    <row r="50" spans="1:17" ht="16.5">
      <c r="A50" s="62" t="s">
        <v>19</v>
      </c>
      <c r="B50" s="62" t="s">
        <v>22</v>
      </c>
      <c r="C50" s="79">
        <v>42634</v>
      </c>
      <c r="D50" s="79" t="s">
        <v>119</v>
      </c>
      <c r="E50" s="70">
        <v>42629</v>
      </c>
      <c r="F50" s="71" t="s">
        <v>121</v>
      </c>
      <c r="G50" s="63"/>
      <c r="H50" s="63"/>
      <c r="I50" s="63">
        <v>51.2</v>
      </c>
      <c r="J50" s="63">
        <v>2.8</v>
      </c>
      <c r="K50" s="63"/>
      <c r="L50" s="63"/>
      <c r="M50" s="63">
        <f t="shared" si="9"/>
        <v>54</v>
      </c>
      <c r="Q50" s="80"/>
    </row>
    <row r="51" spans="1:17" ht="16.5">
      <c r="A51" s="64" t="s">
        <v>23</v>
      </c>
      <c r="B51" s="65"/>
      <c r="C51" s="66"/>
      <c r="D51" s="67"/>
      <c r="E51" s="68"/>
      <c r="F51" s="65"/>
      <c r="G51" s="69">
        <f aca="true" t="shared" si="10" ref="G51:M51">SUBTOTAL(9,G45:G50)</f>
        <v>0</v>
      </c>
      <c r="H51" s="69">
        <f t="shared" si="10"/>
        <v>0</v>
      </c>
      <c r="I51" s="69">
        <f t="shared" si="10"/>
        <v>371.59999999999997</v>
      </c>
      <c r="J51" s="69">
        <f t="shared" si="10"/>
        <v>37</v>
      </c>
      <c r="K51" s="69">
        <f t="shared" si="10"/>
        <v>0</v>
      </c>
      <c r="L51" s="69">
        <f t="shared" si="10"/>
        <v>0</v>
      </c>
      <c r="M51" s="69">
        <f t="shared" si="10"/>
        <v>408.59999999999997</v>
      </c>
      <c r="N51" s="109"/>
      <c r="O51" s="108"/>
      <c r="Q51" s="80"/>
    </row>
    <row r="52" spans="1:17" ht="16.5">
      <c r="A52" s="62" t="s">
        <v>56</v>
      </c>
      <c r="B52" s="62" t="s">
        <v>22</v>
      </c>
      <c r="C52" s="79">
        <v>42599</v>
      </c>
      <c r="D52" s="79" t="s">
        <v>69</v>
      </c>
      <c r="E52" s="70">
        <v>42557</v>
      </c>
      <c r="F52" s="71" t="s">
        <v>99</v>
      </c>
      <c r="G52" s="63"/>
      <c r="H52" s="63"/>
      <c r="I52" s="63"/>
      <c r="J52" s="63">
        <v>20</v>
      </c>
      <c r="K52" s="63"/>
      <c r="L52" s="63"/>
      <c r="M52" s="63">
        <f t="shared" si="9"/>
        <v>20</v>
      </c>
      <c r="Q52" s="80"/>
    </row>
    <row r="53" spans="1:17" ht="16.5">
      <c r="A53" s="62" t="s">
        <v>56</v>
      </c>
      <c r="B53" s="62" t="s">
        <v>22</v>
      </c>
      <c r="C53" s="79">
        <v>42642</v>
      </c>
      <c r="D53" s="79" t="s">
        <v>69</v>
      </c>
      <c r="E53" s="70">
        <v>42627</v>
      </c>
      <c r="F53" s="71" t="s">
        <v>99</v>
      </c>
      <c r="G53" s="63"/>
      <c r="H53" s="63"/>
      <c r="I53" s="63"/>
      <c r="J53" s="63">
        <v>40.2</v>
      </c>
      <c r="K53" s="63"/>
      <c r="L53" s="63"/>
      <c r="M53" s="63">
        <f t="shared" si="9"/>
        <v>40.2</v>
      </c>
      <c r="Q53" s="80"/>
    </row>
    <row r="54" spans="1:17" ht="16.5">
      <c r="A54" s="64" t="s">
        <v>55</v>
      </c>
      <c r="B54" s="65"/>
      <c r="C54" s="66"/>
      <c r="D54" s="67"/>
      <c r="E54" s="68"/>
      <c r="F54" s="65"/>
      <c r="G54" s="69">
        <f aca="true" t="shared" si="11" ref="G54:M54">SUBTOTAL(9,G52:G53)</f>
        <v>0</v>
      </c>
      <c r="H54" s="69">
        <f t="shared" si="11"/>
        <v>0</v>
      </c>
      <c r="I54" s="69">
        <f t="shared" si="11"/>
        <v>0</v>
      </c>
      <c r="J54" s="69">
        <f t="shared" si="11"/>
        <v>60.2</v>
      </c>
      <c r="K54" s="69">
        <f t="shared" si="11"/>
        <v>0</v>
      </c>
      <c r="L54" s="69">
        <f t="shared" si="11"/>
        <v>0</v>
      </c>
      <c r="M54" s="69">
        <f t="shared" si="11"/>
        <v>60.2</v>
      </c>
      <c r="N54" s="109"/>
      <c r="O54" s="108"/>
      <c r="Q54" s="80"/>
    </row>
    <row r="55" spans="1:13" ht="16.5">
      <c r="A55" s="62" t="s">
        <v>58</v>
      </c>
      <c r="B55" s="62" t="s">
        <v>22</v>
      </c>
      <c r="C55" s="70" t="s">
        <v>134</v>
      </c>
      <c r="D55" s="78" t="s">
        <v>122</v>
      </c>
      <c r="E55" s="70">
        <v>42544</v>
      </c>
      <c r="F55" s="63" t="s">
        <v>123</v>
      </c>
      <c r="G55" s="63">
        <v>0</v>
      </c>
      <c r="H55" s="63"/>
      <c r="I55" s="63">
        <v>241</v>
      </c>
      <c r="J55" s="63">
        <f>7.35+7.4</f>
        <v>14.75</v>
      </c>
      <c r="K55" s="63">
        <v>8.5</v>
      </c>
      <c r="L55" s="63"/>
      <c r="M55" s="63">
        <f>SUM(G55:L55)</f>
        <v>264.25</v>
      </c>
    </row>
    <row r="56" spans="1:13" ht="16.5">
      <c r="A56" s="62" t="s">
        <v>58</v>
      </c>
      <c r="B56" s="62" t="s">
        <v>22</v>
      </c>
      <c r="C56" s="70" t="s">
        <v>134</v>
      </c>
      <c r="D56" s="78" t="s">
        <v>109</v>
      </c>
      <c r="E56" s="70">
        <v>42557</v>
      </c>
      <c r="F56" s="63" t="s">
        <v>123</v>
      </c>
      <c r="G56" s="63"/>
      <c r="H56" s="63"/>
      <c r="I56" s="63">
        <v>241</v>
      </c>
      <c r="J56" s="63">
        <f>7.9+8.1</f>
        <v>16</v>
      </c>
      <c r="K56" s="63">
        <v>0</v>
      </c>
      <c r="L56" s="63"/>
      <c r="M56" s="63">
        <f>SUM(G56:L56)</f>
        <v>257</v>
      </c>
    </row>
    <row r="57" spans="1:13" ht="16.5">
      <c r="A57" s="62" t="s">
        <v>58</v>
      </c>
      <c r="B57" s="62" t="s">
        <v>22</v>
      </c>
      <c r="C57" s="70">
        <v>42618</v>
      </c>
      <c r="D57" s="79" t="s">
        <v>69</v>
      </c>
      <c r="E57" s="70">
        <v>42627</v>
      </c>
      <c r="F57" s="63" t="s">
        <v>123</v>
      </c>
      <c r="G57" s="63"/>
      <c r="H57" s="63"/>
      <c r="I57" s="63">
        <v>251</v>
      </c>
      <c r="J57" s="63">
        <v>0</v>
      </c>
      <c r="K57" s="63"/>
      <c r="L57" s="63"/>
      <c r="M57" s="63">
        <f>SUM(G57:L57)</f>
        <v>251</v>
      </c>
    </row>
    <row r="58" spans="1:15" ht="16.5">
      <c r="A58" s="64" t="s">
        <v>136</v>
      </c>
      <c r="B58" s="65"/>
      <c r="C58" s="66"/>
      <c r="D58" s="67"/>
      <c r="E58" s="68"/>
      <c r="F58" s="65"/>
      <c r="G58" s="69">
        <f>SUBTOTAL(9,G55:G57)</f>
        <v>0</v>
      </c>
      <c r="H58" s="69">
        <f aca="true" t="shared" si="12" ref="H58:M58">SUBTOTAL(9,H55:H57)</f>
        <v>0</v>
      </c>
      <c r="I58" s="69">
        <f t="shared" si="12"/>
        <v>733</v>
      </c>
      <c r="J58" s="69">
        <f t="shared" si="12"/>
        <v>30.75</v>
      </c>
      <c r="K58" s="69">
        <f t="shared" si="12"/>
        <v>8.5</v>
      </c>
      <c r="L58" s="69">
        <f t="shared" si="12"/>
        <v>0</v>
      </c>
      <c r="M58" s="69">
        <f t="shared" si="12"/>
        <v>772.25</v>
      </c>
      <c r="N58" s="109"/>
      <c r="O58" s="108"/>
    </row>
    <row r="59" spans="1:13" ht="16.5">
      <c r="A59" s="72" t="s">
        <v>25</v>
      </c>
      <c r="B59" s="73" t="s">
        <v>22</v>
      </c>
      <c r="C59" s="74"/>
      <c r="D59" s="75"/>
      <c r="E59" s="76"/>
      <c r="F59" s="73"/>
      <c r="G59" s="77">
        <v>0</v>
      </c>
      <c r="H59" s="77">
        <v>0</v>
      </c>
      <c r="I59" s="77">
        <v>0</v>
      </c>
      <c r="J59" s="77">
        <v>0</v>
      </c>
      <c r="K59" s="77">
        <v>0</v>
      </c>
      <c r="L59" s="77">
        <v>0</v>
      </c>
      <c r="M59" s="77">
        <v>0</v>
      </c>
    </row>
    <row r="60" spans="1:13" ht="16.5">
      <c r="A60" s="72" t="s">
        <v>135</v>
      </c>
      <c r="B60" s="73" t="s">
        <v>22</v>
      </c>
      <c r="C60" s="74"/>
      <c r="D60" s="75"/>
      <c r="E60" s="76"/>
      <c r="F60" s="73"/>
      <c r="G60" s="77">
        <v>0</v>
      </c>
      <c r="H60" s="77">
        <v>0</v>
      </c>
      <c r="I60" s="77">
        <v>0</v>
      </c>
      <c r="J60" s="77">
        <v>0</v>
      </c>
      <c r="K60" s="77">
        <v>0</v>
      </c>
      <c r="L60" s="77">
        <v>0</v>
      </c>
      <c r="M60" s="77">
        <v>0</v>
      </c>
    </row>
    <row r="61" spans="1:13" ht="16.5">
      <c r="A61" s="62" t="s">
        <v>59</v>
      </c>
      <c r="B61" s="62" t="s">
        <v>22</v>
      </c>
      <c r="C61" s="79">
        <v>42599</v>
      </c>
      <c r="D61" s="78" t="s">
        <v>109</v>
      </c>
      <c r="E61" s="70">
        <v>42557</v>
      </c>
      <c r="F61" s="63" t="s">
        <v>124</v>
      </c>
      <c r="G61" s="63"/>
      <c r="H61" s="63"/>
      <c r="I61" s="63">
        <v>0</v>
      </c>
      <c r="J61" s="63">
        <v>70.8</v>
      </c>
      <c r="K61" s="63">
        <v>5.5</v>
      </c>
      <c r="L61" s="63"/>
      <c r="M61" s="63">
        <f>SUM(G61:L61)</f>
        <v>76.3</v>
      </c>
    </row>
    <row r="62" spans="1:15" ht="16.5">
      <c r="A62" s="64" t="s">
        <v>137</v>
      </c>
      <c r="B62" s="65" t="s">
        <v>22</v>
      </c>
      <c r="C62" s="66"/>
      <c r="D62" s="67"/>
      <c r="E62" s="68"/>
      <c r="F62" s="65"/>
      <c r="G62" s="69">
        <f aca="true" t="shared" si="13" ref="G62:M62">SUBTOTAL(9,G61:G61)</f>
        <v>0</v>
      </c>
      <c r="H62" s="69">
        <f t="shared" si="13"/>
        <v>0</v>
      </c>
      <c r="I62" s="69">
        <f t="shared" si="13"/>
        <v>0</v>
      </c>
      <c r="J62" s="69">
        <f t="shared" si="13"/>
        <v>70.8</v>
      </c>
      <c r="K62" s="69">
        <f t="shared" si="13"/>
        <v>5.5</v>
      </c>
      <c r="L62" s="69">
        <f t="shared" si="13"/>
        <v>0</v>
      </c>
      <c r="M62" s="69">
        <f t="shared" si="13"/>
        <v>76.3</v>
      </c>
      <c r="N62" s="109"/>
      <c r="O62" s="108"/>
    </row>
    <row r="63" spans="1:15" ht="17.25" thickBot="1">
      <c r="A63" s="82"/>
      <c r="B63" s="82"/>
      <c r="C63" s="83"/>
      <c r="D63" s="82"/>
      <c r="E63" s="82"/>
      <c r="F63" s="84"/>
      <c r="G63" s="85">
        <f aca="true" t="shared" si="14" ref="G63:M63">SUBTOTAL(9,G3:G62)</f>
        <v>1475.44</v>
      </c>
      <c r="H63" s="85">
        <f t="shared" si="14"/>
        <v>0</v>
      </c>
      <c r="I63" s="85">
        <f t="shared" si="14"/>
        <v>5803.08</v>
      </c>
      <c r="J63" s="85">
        <f t="shared" si="14"/>
        <v>865.5000000000001</v>
      </c>
      <c r="K63" s="85">
        <f t="shared" si="14"/>
        <v>1239.29</v>
      </c>
      <c r="L63" s="85">
        <f t="shared" si="14"/>
        <v>113.9</v>
      </c>
      <c r="M63" s="85">
        <f t="shared" si="14"/>
        <v>9497.21</v>
      </c>
      <c r="N63" s="108"/>
      <c r="O63" s="108"/>
    </row>
    <row r="64" spans="1:18" ht="17.25" thickTop="1">
      <c r="A64" s="86"/>
      <c r="B64" s="86"/>
      <c r="C64" s="87"/>
      <c r="D64" s="86"/>
      <c r="E64" s="86"/>
      <c r="F64" s="86"/>
      <c r="G64" s="88"/>
      <c r="H64" s="88"/>
      <c r="I64" s="88"/>
      <c r="J64" s="88"/>
      <c r="K64" s="88"/>
      <c r="L64" s="88"/>
      <c r="M64" s="88"/>
      <c r="R64" s="89"/>
    </row>
    <row r="65" spans="5:6" ht="16.5">
      <c r="E65" s="90"/>
      <c r="F65" s="90"/>
    </row>
    <row r="66" spans="1:13" ht="17.25" thickBot="1">
      <c r="A66" s="86"/>
      <c r="B66" s="86"/>
      <c r="C66" s="87"/>
      <c r="D66" s="86"/>
      <c r="E66" s="86"/>
      <c r="F66" s="86"/>
      <c r="G66" s="88"/>
      <c r="H66" s="88"/>
      <c r="I66" s="88"/>
      <c r="J66" s="88"/>
      <c r="K66" s="88"/>
      <c r="L66" s="88"/>
      <c r="M66" s="88"/>
    </row>
    <row r="67" spans="1:13" ht="17.25" thickBot="1">
      <c r="A67" s="86"/>
      <c r="B67" s="86"/>
      <c r="C67" s="86"/>
      <c r="D67" s="86"/>
      <c r="E67" s="86"/>
      <c r="F67" s="91" t="s">
        <v>28</v>
      </c>
      <c r="G67" s="92"/>
      <c r="H67" s="92"/>
      <c r="I67" s="92"/>
      <c r="J67" s="92"/>
      <c r="K67" s="92"/>
      <c r="L67" s="92"/>
      <c r="M67" s="93"/>
    </row>
    <row r="68" spans="1:13" ht="52.5">
      <c r="A68" s="86"/>
      <c r="B68" s="86"/>
      <c r="C68" s="86"/>
      <c r="D68" s="86"/>
      <c r="E68" s="86"/>
      <c r="F68" s="94"/>
      <c r="G68" s="95" t="s">
        <v>6</v>
      </c>
      <c r="H68" s="96" t="s">
        <v>29</v>
      </c>
      <c r="I68" s="96" t="s">
        <v>8</v>
      </c>
      <c r="J68" s="96" t="s">
        <v>9</v>
      </c>
      <c r="K68" s="96" t="s">
        <v>10</v>
      </c>
      <c r="L68" s="96" t="s">
        <v>11</v>
      </c>
      <c r="M68" s="97" t="s">
        <v>30</v>
      </c>
    </row>
    <row r="69" spans="1:13" ht="16.5">
      <c r="A69" s="86"/>
      <c r="B69" s="86"/>
      <c r="C69" s="98"/>
      <c r="D69" s="86"/>
      <c r="E69" s="86"/>
      <c r="F69" s="99" t="s">
        <v>31</v>
      </c>
      <c r="G69" s="100">
        <f>G63-G70</f>
        <v>1475.44</v>
      </c>
      <c r="H69" s="100">
        <f aca="true" t="shared" si="15" ref="H69:M69">H63-H70</f>
        <v>0</v>
      </c>
      <c r="I69" s="100">
        <f t="shared" si="15"/>
        <v>5540.18</v>
      </c>
      <c r="J69" s="100">
        <f t="shared" si="15"/>
        <v>822.3000000000001</v>
      </c>
      <c r="K69" s="100">
        <f t="shared" si="15"/>
        <v>1239.29</v>
      </c>
      <c r="L69" s="100">
        <f t="shared" si="15"/>
        <v>113.9</v>
      </c>
      <c r="M69" s="100">
        <f t="shared" si="15"/>
        <v>9191.109999999999</v>
      </c>
    </row>
    <row r="70" spans="1:13" ht="16.5">
      <c r="A70" s="86"/>
      <c r="B70" s="86"/>
      <c r="C70" s="98"/>
      <c r="D70" s="86"/>
      <c r="E70" s="86"/>
      <c r="F70" s="99" t="s">
        <v>32</v>
      </c>
      <c r="G70" s="100">
        <f aca="true" t="shared" si="16" ref="G70:L70">G4+G6+G9+G10</f>
        <v>0</v>
      </c>
      <c r="H70" s="100">
        <f t="shared" si="16"/>
        <v>0</v>
      </c>
      <c r="I70" s="100">
        <f t="shared" si="16"/>
        <v>262.9</v>
      </c>
      <c r="J70" s="100">
        <f t="shared" si="16"/>
        <v>43.2</v>
      </c>
      <c r="K70" s="100">
        <f t="shared" si="16"/>
        <v>0</v>
      </c>
      <c r="L70" s="100">
        <f t="shared" si="16"/>
        <v>0</v>
      </c>
      <c r="M70" s="100">
        <f>SUM(G70:L70)</f>
        <v>306.09999999999997</v>
      </c>
    </row>
    <row r="71" spans="1:13" ht="16.5">
      <c r="A71" s="86"/>
      <c r="B71" s="86"/>
      <c r="C71" s="98"/>
      <c r="D71" s="86"/>
      <c r="E71" s="86"/>
      <c r="F71" s="101" t="s">
        <v>33</v>
      </c>
      <c r="G71" s="102">
        <f aca="true" t="shared" si="17" ref="G71:L71">SUM(G69:G70)</f>
        <v>1475.44</v>
      </c>
      <c r="H71" s="102">
        <f t="shared" si="17"/>
        <v>0</v>
      </c>
      <c r="I71" s="102">
        <f t="shared" si="17"/>
        <v>5803.08</v>
      </c>
      <c r="J71" s="102">
        <f t="shared" si="17"/>
        <v>865.5000000000001</v>
      </c>
      <c r="K71" s="102">
        <f t="shared" si="17"/>
        <v>1239.29</v>
      </c>
      <c r="L71" s="102">
        <f t="shared" si="17"/>
        <v>113.9</v>
      </c>
      <c r="M71" s="100">
        <f>SUM(G71:L71)</f>
        <v>9497.210000000001</v>
      </c>
    </row>
    <row r="72" spans="1:13" ht="16.5">
      <c r="A72" s="86"/>
      <c r="B72" s="86"/>
      <c r="C72" s="98"/>
      <c r="D72" s="86"/>
      <c r="E72" s="86"/>
      <c r="F72" s="99" t="s">
        <v>34</v>
      </c>
      <c r="G72" s="103" t="s">
        <v>37</v>
      </c>
      <c r="H72" s="103"/>
      <c r="I72" s="103" t="s">
        <v>37</v>
      </c>
      <c r="J72" s="103" t="s">
        <v>37</v>
      </c>
      <c r="K72" s="103" t="s">
        <v>37</v>
      </c>
      <c r="L72" s="103" t="s">
        <v>37</v>
      </c>
      <c r="M72" s="100">
        <f>SUM(G72:L72)</f>
        <v>0</v>
      </c>
    </row>
    <row r="73" spans="1:13" ht="16.5">
      <c r="A73" s="86"/>
      <c r="B73" s="86"/>
      <c r="C73" s="98"/>
      <c r="D73" s="86"/>
      <c r="E73" s="86"/>
      <c r="F73" s="99" t="s">
        <v>45</v>
      </c>
      <c r="G73" s="103" t="s">
        <v>37</v>
      </c>
      <c r="H73" s="104"/>
      <c r="I73" s="103" t="s">
        <v>37</v>
      </c>
      <c r="J73" s="103" t="s">
        <v>37</v>
      </c>
      <c r="K73" s="103" t="s">
        <v>37</v>
      </c>
      <c r="L73" s="103" t="s">
        <v>37</v>
      </c>
      <c r="M73" s="100">
        <f>SUM(G73:L73)</f>
        <v>0</v>
      </c>
    </row>
    <row r="74" spans="1:13" ht="17.25" thickBot="1">
      <c r="A74" s="86"/>
      <c r="B74" s="86"/>
      <c r="C74" s="98"/>
      <c r="D74" s="86"/>
      <c r="E74" s="86"/>
      <c r="F74" s="105" t="s">
        <v>35</v>
      </c>
      <c r="G74" s="106">
        <f aca="true" t="shared" si="18" ref="G74:L74">SUM(G71:G73)</f>
        <v>1475.44</v>
      </c>
      <c r="H74" s="106">
        <f t="shared" si="18"/>
        <v>0</v>
      </c>
      <c r="I74" s="106">
        <f t="shared" si="18"/>
        <v>5803.08</v>
      </c>
      <c r="J74" s="106">
        <f t="shared" si="18"/>
        <v>865.5000000000001</v>
      </c>
      <c r="K74" s="106">
        <f t="shared" si="18"/>
        <v>1239.29</v>
      </c>
      <c r="L74" s="106">
        <f t="shared" si="18"/>
        <v>113.9</v>
      </c>
      <c r="M74" s="107">
        <f>SUM(G74:L74)</f>
        <v>9497.210000000001</v>
      </c>
    </row>
    <row r="75" spans="1:13" ht="16.5">
      <c r="A75" s="86"/>
      <c r="B75" s="86"/>
      <c r="C75" s="86"/>
      <c r="D75" s="86"/>
      <c r="E75" s="86"/>
      <c r="F75" s="86"/>
      <c r="G75" s="88"/>
      <c r="H75" s="88"/>
      <c r="I75" s="88"/>
      <c r="J75" s="88"/>
      <c r="K75" s="88"/>
      <c r="L75" s="88"/>
      <c r="M75" s="8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85" zoomScaleNormal="85" zoomScalePageLayoutView="0" workbookViewId="0" topLeftCell="A1">
      <pane xSplit="1" ySplit="2" topLeftCell="B5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59" sqref="O59"/>
    </sheetView>
  </sheetViews>
  <sheetFormatPr defaultColWidth="9.140625" defaultRowHeight="15"/>
  <cols>
    <col min="1" max="1" width="13.421875" style="49" customWidth="1"/>
    <col min="2" max="2" width="29.8515625" style="49" bestFit="1" customWidth="1"/>
    <col min="3" max="3" width="25.28125" style="49" customWidth="1"/>
    <col min="4" max="4" width="33.00390625" style="49" customWidth="1"/>
    <col min="5" max="5" width="19.140625" style="49" customWidth="1"/>
    <col min="6" max="6" width="20.8515625" style="49" customWidth="1"/>
    <col min="7" max="7" width="8.140625" style="49" customWidth="1"/>
    <col min="8" max="8" width="9.140625" style="49" customWidth="1"/>
    <col min="9" max="9" width="10.7109375" style="49" customWidth="1"/>
    <col min="10" max="14" width="9.140625" style="49" customWidth="1"/>
    <col min="15" max="15" width="10.00390625" style="49" bestFit="1" customWidth="1"/>
    <col min="16" max="18" width="9.140625" style="49" customWidth="1"/>
    <col min="19" max="19" width="17.00390625" style="49" customWidth="1"/>
    <col min="20" max="16384" width="9.140625" style="49" customWidth="1"/>
  </cols>
  <sheetData>
    <row r="1" spans="1:13" ht="23.25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1"/>
      <c r="M1" s="1"/>
    </row>
    <row r="2" spans="1:13" ht="52.5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4" t="s">
        <v>5</v>
      </c>
      <c r="G2" s="5" t="s">
        <v>6</v>
      </c>
      <c r="H2" s="5" t="s">
        <v>7</v>
      </c>
      <c r="I2" s="5" t="s">
        <v>163</v>
      </c>
      <c r="J2" s="5" t="s">
        <v>41</v>
      </c>
      <c r="K2" s="5" t="s">
        <v>10</v>
      </c>
      <c r="L2" s="5" t="s">
        <v>11</v>
      </c>
      <c r="M2" s="5" t="s">
        <v>12</v>
      </c>
    </row>
    <row r="3" spans="1:13" ht="16.5">
      <c r="A3" s="72" t="s">
        <v>15</v>
      </c>
      <c r="B3" s="73"/>
      <c r="C3" s="74"/>
      <c r="D3" s="75"/>
      <c r="E3" s="76"/>
      <c r="F3" s="73"/>
      <c r="G3" s="77">
        <v>0</v>
      </c>
      <c r="H3" s="77">
        <v>0</v>
      </c>
      <c r="I3" s="77">
        <v>0</v>
      </c>
      <c r="J3" s="77">
        <v>0</v>
      </c>
      <c r="K3" s="77">
        <v>0</v>
      </c>
      <c r="L3" s="77">
        <v>0</v>
      </c>
      <c r="M3" s="77">
        <v>0</v>
      </c>
    </row>
    <row r="4" spans="1:13" ht="16.5">
      <c r="A4" s="12" t="s">
        <v>49</v>
      </c>
      <c r="B4" s="12" t="s">
        <v>16</v>
      </c>
      <c r="C4" s="20">
        <v>42712</v>
      </c>
      <c r="D4" s="13" t="s">
        <v>144</v>
      </c>
      <c r="E4" s="20" t="s">
        <v>145</v>
      </c>
      <c r="F4" s="13" t="s">
        <v>146</v>
      </c>
      <c r="G4" s="14"/>
      <c r="H4" s="14"/>
      <c r="I4" s="14">
        <v>23.98</v>
      </c>
      <c r="J4" s="14"/>
      <c r="K4" s="14"/>
      <c r="L4" s="14"/>
      <c r="M4" s="14">
        <f>SUM(G4:L4)</f>
        <v>23.98</v>
      </c>
    </row>
    <row r="5" spans="1:13" ht="16.5">
      <c r="A5" s="15" t="s">
        <v>17</v>
      </c>
      <c r="B5" s="16"/>
      <c r="C5" s="17"/>
      <c r="D5" s="18"/>
      <c r="E5" s="19"/>
      <c r="F5" s="16"/>
      <c r="G5" s="69">
        <f aca="true" t="shared" si="0" ref="G5:M5">SUBTOTAL(9,G4:G4)</f>
        <v>0</v>
      </c>
      <c r="H5" s="69">
        <f t="shared" si="0"/>
        <v>0</v>
      </c>
      <c r="I5" s="69">
        <f t="shared" si="0"/>
        <v>23.98</v>
      </c>
      <c r="J5" s="69">
        <f t="shared" si="0"/>
        <v>0</v>
      </c>
      <c r="K5" s="69">
        <f t="shared" si="0"/>
        <v>0</v>
      </c>
      <c r="L5" s="69">
        <f t="shared" si="0"/>
        <v>0</v>
      </c>
      <c r="M5" s="33">
        <f t="shared" si="0"/>
        <v>23.98</v>
      </c>
    </row>
    <row r="6" spans="1:13" ht="16.5">
      <c r="A6" s="12" t="s">
        <v>43</v>
      </c>
      <c r="B6" s="12" t="s">
        <v>50</v>
      </c>
      <c r="C6" s="20">
        <v>42653</v>
      </c>
      <c r="D6" s="13" t="s">
        <v>147</v>
      </c>
      <c r="E6" s="20">
        <v>42649</v>
      </c>
      <c r="F6" s="22" t="s">
        <v>148</v>
      </c>
      <c r="G6" s="14"/>
      <c r="H6" s="14"/>
      <c r="I6" s="14">
        <v>35.6</v>
      </c>
      <c r="J6" s="14"/>
      <c r="K6" s="14"/>
      <c r="L6" s="14"/>
      <c r="M6" s="63">
        <f>SUM(G6:L6)</f>
        <v>35.6</v>
      </c>
    </row>
    <row r="7" spans="1:13" ht="16.5">
      <c r="A7" s="15" t="s">
        <v>44</v>
      </c>
      <c r="B7" s="16"/>
      <c r="C7" s="17"/>
      <c r="D7" s="18"/>
      <c r="E7" s="19"/>
      <c r="F7" s="16"/>
      <c r="G7" s="69">
        <f aca="true" t="shared" si="1" ref="G7:M7">SUBTOTAL(9,G6:G6)</f>
        <v>0</v>
      </c>
      <c r="H7" s="69">
        <f t="shared" si="1"/>
        <v>0</v>
      </c>
      <c r="I7" s="69">
        <f t="shared" si="1"/>
        <v>35.6</v>
      </c>
      <c r="J7" s="69">
        <f t="shared" si="1"/>
        <v>0</v>
      </c>
      <c r="K7" s="69">
        <f t="shared" si="1"/>
        <v>0</v>
      </c>
      <c r="L7" s="69">
        <f t="shared" si="1"/>
        <v>0</v>
      </c>
      <c r="M7" s="33">
        <f t="shared" si="1"/>
        <v>35.6</v>
      </c>
    </row>
    <row r="8" spans="1:13" ht="16.5">
      <c r="A8" s="6" t="s">
        <v>150</v>
      </c>
      <c r="B8" s="7" t="s">
        <v>149</v>
      </c>
      <c r="C8" s="8"/>
      <c r="D8" s="9"/>
      <c r="E8" s="10"/>
      <c r="F8" s="7"/>
      <c r="G8" s="11">
        <v>0</v>
      </c>
      <c r="H8" s="11"/>
      <c r="I8" s="11"/>
      <c r="J8" s="11"/>
      <c r="K8" s="11"/>
      <c r="L8" s="11"/>
      <c r="M8" s="11">
        <v>0</v>
      </c>
    </row>
    <row r="9" spans="1:13" ht="16.5">
      <c r="A9" s="12" t="s">
        <v>18</v>
      </c>
      <c r="B9" s="12" t="s">
        <v>36</v>
      </c>
      <c r="C9" s="12">
        <v>42648</v>
      </c>
      <c r="D9" s="13" t="s">
        <v>151</v>
      </c>
      <c r="E9" s="20" t="s">
        <v>152</v>
      </c>
      <c r="F9" s="13" t="s">
        <v>99</v>
      </c>
      <c r="G9" s="14"/>
      <c r="H9" s="14"/>
      <c r="I9" s="14">
        <v>40.8</v>
      </c>
      <c r="J9" s="14"/>
      <c r="K9" s="14"/>
      <c r="L9" s="14"/>
      <c r="M9" s="63">
        <f aca="true" t="shared" si="2" ref="M9:M27">SUM(G9:L9)</f>
        <v>40.8</v>
      </c>
    </row>
    <row r="10" spans="1:13" ht="16.5">
      <c r="A10" s="12" t="s">
        <v>18</v>
      </c>
      <c r="B10" s="12" t="s">
        <v>36</v>
      </c>
      <c r="C10" s="12">
        <v>42648</v>
      </c>
      <c r="D10" s="13" t="s">
        <v>153</v>
      </c>
      <c r="E10" s="20">
        <v>42571</v>
      </c>
      <c r="F10" s="13" t="s">
        <v>70</v>
      </c>
      <c r="G10" s="14"/>
      <c r="H10" s="14"/>
      <c r="I10" s="14">
        <v>212.62</v>
      </c>
      <c r="J10" s="14">
        <v>25</v>
      </c>
      <c r="K10" s="14">
        <v>10.3</v>
      </c>
      <c r="L10" s="14"/>
      <c r="M10" s="63">
        <f t="shared" si="2"/>
        <v>247.92000000000002</v>
      </c>
    </row>
    <row r="11" spans="1:13" ht="16.5">
      <c r="A11" s="12" t="s">
        <v>18</v>
      </c>
      <c r="B11" s="12" t="s">
        <v>36</v>
      </c>
      <c r="C11" s="20">
        <v>42648</v>
      </c>
      <c r="D11" s="21" t="s">
        <v>71</v>
      </c>
      <c r="E11" s="20">
        <v>42578</v>
      </c>
      <c r="F11" s="13" t="s">
        <v>70</v>
      </c>
      <c r="G11" s="14"/>
      <c r="H11" s="14"/>
      <c r="I11" s="14">
        <v>340.17</v>
      </c>
      <c r="J11" s="14">
        <v>16</v>
      </c>
      <c r="K11" s="14">
        <v>11.54</v>
      </c>
      <c r="L11" s="14"/>
      <c r="M11" s="63">
        <f t="shared" si="2"/>
        <v>367.71000000000004</v>
      </c>
    </row>
    <row r="12" spans="1:13" ht="16.5">
      <c r="A12" s="12" t="s">
        <v>18</v>
      </c>
      <c r="B12" s="12" t="s">
        <v>36</v>
      </c>
      <c r="C12" s="12">
        <v>42648</v>
      </c>
      <c r="D12" s="78" t="s">
        <v>71</v>
      </c>
      <c r="E12" s="20">
        <v>42606</v>
      </c>
      <c r="F12" s="13" t="s">
        <v>70</v>
      </c>
      <c r="G12" s="14"/>
      <c r="H12" s="14"/>
      <c r="I12" s="14">
        <v>340.17</v>
      </c>
      <c r="J12" s="14">
        <v>17</v>
      </c>
      <c r="K12" s="14">
        <v>13.05</v>
      </c>
      <c r="L12" s="14"/>
      <c r="M12" s="63">
        <f t="shared" si="2"/>
        <v>370.22</v>
      </c>
    </row>
    <row r="13" spans="1:13" ht="16.5">
      <c r="A13" s="13" t="s">
        <v>18</v>
      </c>
      <c r="B13" s="12" t="s">
        <v>36</v>
      </c>
      <c r="C13" s="20">
        <v>42648</v>
      </c>
      <c r="D13" s="78" t="s">
        <v>71</v>
      </c>
      <c r="E13" s="20">
        <v>42563</v>
      </c>
      <c r="F13" s="13" t="s">
        <v>70</v>
      </c>
      <c r="G13" s="14"/>
      <c r="H13" s="14"/>
      <c r="I13" s="14">
        <v>340.17</v>
      </c>
      <c r="J13" s="14">
        <v>16</v>
      </c>
      <c r="K13" s="14">
        <v>4.5</v>
      </c>
      <c r="L13" s="14"/>
      <c r="M13" s="63">
        <f t="shared" si="2"/>
        <v>360.67</v>
      </c>
    </row>
    <row r="14" spans="1:13" ht="16.5">
      <c r="A14" s="13" t="s">
        <v>18</v>
      </c>
      <c r="B14" s="12" t="s">
        <v>36</v>
      </c>
      <c r="C14" s="20">
        <v>42648</v>
      </c>
      <c r="D14" s="78" t="s">
        <v>71</v>
      </c>
      <c r="E14" s="20">
        <v>42614</v>
      </c>
      <c r="F14" s="13" t="s">
        <v>70</v>
      </c>
      <c r="G14" s="14"/>
      <c r="H14" s="14"/>
      <c r="I14" s="14">
        <v>251.67</v>
      </c>
      <c r="J14" s="14">
        <v>23</v>
      </c>
      <c r="K14" s="14">
        <v>3.1</v>
      </c>
      <c r="L14" s="14"/>
      <c r="M14" s="63">
        <f t="shared" si="2"/>
        <v>277.77</v>
      </c>
    </row>
    <row r="15" spans="1:13" ht="16.5">
      <c r="A15" s="13" t="s">
        <v>18</v>
      </c>
      <c r="B15" s="12" t="s">
        <v>36</v>
      </c>
      <c r="C15" s="20" t="s">
        <v>172</v>
      </c>
      <c r="D15" s="21" t="s">
        <v>154</v>
      </c>
      <c r="E15" s="20" t="s">
        <v>155</v>
      </c>
      <c r="F15" s="13" t="s">
        <v>70</v>
      </c>
      <c r="G15" s="14"/>
      <c r="H15" s="14"/>
      <c r="I15" s="14">
        <v>340.17</v>
      </c>
      <c r="J15" s="14">
        <v>58</v>
      </c>
      <c r="K15" s="14">
        <f>9+314.7</f>
        <v>323.7</v>
      </c>
      <c r="L15" s="14"/>
      <c r="M15" s="63">
        <f t="shared" si="2"/>
        <v>721.87</v>
      </c>
    </row>
    <row r="16" spans="1:13" ht="16.5">
      <c r="A16" s="13" t="s">
        <v>18</v>
      </c>
      <c r="B16" s="12" t="s">
        <v>36</v>
      </c>
      <c r="C16" s="20">
        <v>42723</v>
      </c>
      <c r="D16" s="21" t="s">
        <v>71</v>
      </c>
      <c r="E16" s="20">
        <v>42635</v>
      </c>
      <c r="F16" s="13" t="s">
        <v>70</v>
      </c>
      <c r="G16" s="14"/>
      <c r="H16" s="14"/>
      <c r="I16" s="14">
        <f>285.09+2.4</f>
        <v>287.48999999999995</v>
      </c>
      <c r="J16" s="14">
        <v>23</v>
      </c>
      <c r="K16" s="14">
        <v>12.19</v>
      </c>
      <c r="L16" s="14"/>
      <c r="M16" s="63">
        <f t="shared" si="2"/>
        <v>322.67999999999995</v>
      </c>
    </row>
    <row r="17" spans="1:13" ht="16.5">
      <c r="A17" s="13" t="s">
        <v>18</v>
      </c>
      <c r="B17" s="12" t="s">
        <v>36</v>
      </c>
      <c r="C17" s="20" t="s">
        <v>175</v>
      </c>
      <c r="D17" s="21" t="s">
        <v>71</v>
      </c>
      <c r="E17" s="20">
        <v>42653</v>
      </c>
      <c r="F17" s="13" t="s">
        <v>70</v>
      </c>
      <c r="G17" s="14"/>
      <c r="H17" s="14"/>
      <c r="I17" s="63">
        <f>338+4.8+339</f>
        <v>681.8</v>
      </c>
      <c r="J17" s="14">
        <v>23</v>
      </c>
      <c r="K17" s="14">
        <v>12.74</v>
      </c>
      <c r="L17" s="14"/>
      <c r="M17" s="63">
        <f t="shared" si="2"/>
        <v>717.54</v>
      </c>
    </row>
    <row r="18" spans="1:13" ht="16.5">
      <c r="A18" s="13" t="s">
        <v>18</v>
      </c>
      <c r="B18" s="12" t="s">
        <v>36</v>
      </c>
      <c r="C18" s="20" t="s">
        <v>175</v>
      </c>
      <c r="D18" s="21" t="s">
        <v>156</v>
      </c>
      <c r="E18" s="20">
        <v>42656</v>
      </c>
      <c r="F18" s="13" t="s">
        <v>70</v>
      </c>
      <c r="G18" s="14"/>
      <c r="H18" s="14"/>
      <c r="I18" s="63">
        <f>338+339</f>
        <v>677</v>
      </c>
      <c r="J18" s="14">
        <f>14.5+28+2.7</f>
        <v>45.2</v>
      </c>
      <c r="K18" s="14">
        <v>0</v>
      </c>
      <c r="L18" s="14">
        <v>0</v>
      </c>
      <c r="M18" s="63">
        <f t="shared" si="2"/>
        <v>722.2</v>
      </c>
    </row>
    <row r="19" spans="1:13" ht="16.5">
      <c r="A19" s="13" t="s">
        <v>18</v>
      </c>
      <c r="B19" s="12" t="s">
        <v>36</v>
      </c>
      <c r="C19" s="20" t="s">
        <v>175</v>
      </c>
      <c r="D19" s="21" t="s">
        <v>157</v>
      </c>
      <c r="E19" s="20">
        <v>42647</v>
      </c>
      <c r="F19" s="13" t="s">
        <v>70</v>
      </c>
      <c r="G19" s="14"/>
      <c r="H19" s="14"/>
      <c r="I19" s="14">
        <v>212.62</v>
      </c>
      <c r="J19" s="14">
        <v>42</v>
      </c>
      <c r="K19" s="14">
        <f>8.09+246.84</f>
        <v>254.93</v>
      </c>
      <c r="L19" s="14"/>
      <c r="M19" s="63">
        <f t="shared" si="2"/>
        <v>509.55</v>
      </c>
    </row>
    <row r="20" spans="1:13" ht="16.5">
      <c r="A20" s="13" t="s">
        <v>18</v>
      </c>
      <c r="B20" s="12" t="s">
        <v>36</v>
      </c>
      <c r="C20" s="20">
        <v>42723</v>
      </c>
      <c r="D20" s="13" t="s">
        <v>71</v>
      </c>
      <c r="E20" s="20">
        <v>42661</v>
      </c>
      <c r="F20" s="13" t="s">
        <v>70</v>
      </c>
      <c r="G20" s="14"/>
      <c r="H20" s="14"/>
      <c r="I20" s="14">
        <f>340.17+4.8</f>
        <v>344.97</v>
      </c>
      <c r="J20" s="14">
        <v>22</v>
      </c>
      <c r="K20" s="14">
        <v>4.38</v>
      </c>
      <c r="L20" s="14"/>
      <c r="M20" s="63">
        <f t="shared" si="2"/>
        <v>371.35</v>
      </c>
    </row>
    <row r="21" spans="1:13" ht="16.5">
      <c r="A21" s="62" t="s">
        <v>18</v>
      </c>
      <c r="B21" s="61" t="s">
        <v>36</v>
      </c>
      <c r="C21" s="70" t="s">
        <v>175</v>
      </c>
      <c r="D21" s="62" t="s">
        <v>158</v>
      </c>
      <c r="E21" s="70">
        <v>42692</v>
      </c>
      <c r="F21" s="62" t="s">
        <v>159</v>
      </c>
      <c r="G21" s="63"/>
      <c r="H21" s="63"/>
      <c r="I21" s="63">
        <f>294.17+27.2</f>
        <v>321.37</v>
      </c>
      <c r="J21" s="63">
        <v>55.5</v>
      </c>
      <c r="K21" s="63">
        <v>4.5</v>
      </c>
      <c r="L21" s="63"/>
      <c r="M21" s="63">
        <f t="shared" si="2"/>
        <v>381.37</v>
      </c>
    </row>
    <row r="22" spans="1:13" ht="16.5">
      <c r="A22" s="62" t="s">
        <v>18</v>
      </c>
      <c r="B22" s="61" t="s">
        <v>36</v>
      </c>
      <c r="C22" s="70">
        <v>42723</v>
      </c>
      <c r="D22" s="62" t="s">
        <v>154</v>
      </c>
      <c r="E22" s="70">
        <v>42690</v>
      </c>
      <c r="F22" s="62" t="s">
        <v>70</v>
      </c>
      <c r="G22" s="63"/>
      <c r="H22" s="63"/>
      <c r="I22" s="63">
        <v>340.17</v>
      </c>
      <c r="J22" s="63">
        <v>19.2</v>
      </c>
      <c r="K22" s="63"/>
      <c r="L22" s="63"/>
      <c r="M22" s="63">
        <f t="shared" si="2"/>
        <v>359.37</v>
      </c>
    </row>
    <row r="23" spans="1:13" ht="16.5">
      <c r="A23" s="62" t="s">
        <v>18</v>
      </c>
      <c r="B23" s="61" t="s">
        <v>36</v>
      </c>
      <c r="C23" s="70">
        <v>42723</v>
      </c>
      <c r="D23" s="62" t="s">
        <v>71</v>
      </c>
      <c r="E23" s="70">
        <v>42683</v>
      </c>
      <c r="F23" s="62" t="s">
        <v>70</v>
      </c>
      <c r="G23" s="63"/>
      <c r="H23" s="63"/>
      <c r="I23" s="63">
        <v>340.17</v>
      </c>
      <c r="J23" s="63">
        <v>37</v>
      </c>
      <c r="K23" s="63">
        <v>4.75</v>
      </c>
      <c r="L23" s="63"/>
      <c r="M23" s="63">
        <f t="shared" si="2"/>
        <v>381.92</v>
      </c>
    </row>
    <row r="24" spans="1:13" ht="16.5">
      <c r="A24" s="62" t="s">
        <v>18</v>
      </c>
      <c r="B24" s="61" t="s">
        <v>36</v>
      </c>
      <c r="C24" s="70" t="s">
        <v>175</v>
      </c>
      <c r="D24" s="62" t="s">
        <v>71</v>
      </c>
      <c r="E24" s="70" t="s">
        <v>160</v>
      </c>
      <c r="F24" s="62" t="s">
        <v>70</v>
      </c>
      <c r="G24" s="63"/>
      <c r="H24" s="63"/>
      <c r="I24" s="63">
        <f>212.62+9.6</f>
        <v>222.22</v>
      </c>
      <c r="J24" s="63">
        <v>45</v>
      </c>
      <c r="K24" s="63">
        <f>3.75+178.25</f>
        <v>182</v>
      </c>
      <c r="L24" s="63"/>
      <c r="M24" s="63">
        <f t="shared" si="2"/>
        <v>449.22</v>
      </c>
    </row>
    <row r="25" spans="1:13" ht="16.5">
      <c r="A25" s="15" t="s">
        <v>20</v>
      </c>
      <c r="B25" s="16"/>
      <c r="C25" s="17"/>
      <c r="D25" s="18"/>
      <c r="E25" s="19"/>
      <c r="F25" s="16"/>
      <c r="G25" s="69">
        <f aca="true" t="shared" si="3" ref="G25:M25">SUBTOTAL(9,G9:G24)</f>
        <v>0</v>
      </c>
      <c r="H25" s="69">
        <f t="shared" si="3"/>
        <v>0</v>
      </c>
      <c r="I25" s="69">
        <f t="shared" si="3"/>
        <v>5293.580000000001</v>
      </c>
      <c r="J25" s="69">
        <f t="shared" si="3"/>
        <v>466.9</v>
      </c>
      <c r="K25" s="69">
        <f t="shared" si="3"/>
        <v>841.68</v>
      </c>
      <c r="L25" s="69">
        <f t="shared" si="3"/>
        <v>0</v>
      </c>
      <c r="M25" s="69">
        <f t="shared" si="3"/>
        <v>6602.160000000001</v>
      </c>
    </row>
    <row r="26" spans="1:13" ht="15.75" customHeight="1">
      <c r="A26" s="12" t="s">
        <v>26</v>
      </c>
      <c r="B26" s="13" t="s">
        <v>22</v>
      </c>
      <c r="C26" s="20" t="s">
        <v>171</v>
      </c>
      <c r="D26" s="21" t="s">
        <v>154</v>
      </c>
      <c r="E26" s="20">
        <v>42627</v>
      </c>
      <c r="F26" s="13" t="s">
        <v>82</v>
      </c>
      <c r="G26" s="14"/>
      <c r="H26" s="14"/>
      <c r="I26" s="14">
        <f>5.2</f>
        <v>5.2</v>
      </c>
      <c r="J26" s="14">
        <v>23</v>
      </c>
      <c r="K26" s="14">
        <f>14.45+556.8</f>
        <v>571.25</v>
      </c>
      <c r="L26" s="14"/>
      <c r="M26" s="63">
        <f t="shared" si="2"/>
        <v>599.45</v>
      </c>
    </row>
    <row r="27" spans="1:13" ht="15.75" customHeight="1">
      <c r="A27" s="12" t="s">
        <v>26</v>
      </c>
      <c r="B27" s="13" t="s">
        <v>22</v>
      </c>
      <c r="C27" s="20" t="s">
        <v>170</v>
      </c>
      <c r="D27" s="21" t="s">
        <v>161</v>
      </c>
      <c r="E27" s="20">
        <v>42642</v>
      </c>
      <c r="F27" s="13" t="s">
        <v>82</v>
      </c>
      <c r="G27" s="14">
        <v>263.98</v>
      </c>
      <c r="H27" s="14"/>
      <c r="I27" s="14">
        <f>8.1</f>
        <v>8.1</v>
      </c>
      <c r="J27" s="14">
        <v>20.5</v>
      </c>
      <c r="K27" s="14">
        <f>11.45+9.5+269.59</f>
        <v>290.53999999999996</v>
      </c>
      <c r="L27" s="14"/>
      <c r="M27" s="63">
        <f t="shared" si="2"/>
        <v>583.12</v>
      </c>
    </row>
    <row r="28" spans="1:13" ht="16.5">
      <c r="A28" s="15" t="s">
        <v>27</v>
      </c>
      <c r="B28" s="16"/>
      <c r="C28" s="19"/>
      <c r="D28" s="18"/>
      <c r="E28" s="19"/>
      <c r="F28" s="16"/>
      <c r="G28" s="69">
        <f aca="true" t="shared" si="4" ref="G28:M28">SUBTOTAL(9,G26:G27)</f>
        <v>263.98</v>
      </c>
      <c r="H28" s="69">
        <f t="shared" si="4"/>
        <v>0</v>
      </c>
      <c r="I28" s="69">
        <f t="shared" si="4"/>
        <v>13.3</v>
      </c>
      <c r="J28" s="69">
        <f t="shared" si="4"/>
        <v>43.5</v>
      </c>
      <c r="K28" s="69">
        <f t="shared" si="4"/>
        <v>861.79</v>
      </c>
      <c r="L28" s="69">
        <f t="shared" si="4"/>
        <v>0</v>
      </c>
      <c r="M28" s="33">
        <f t="shared" si="4"/>
        <v>1182.5700000000002</v>
      </c>
    </row>
    <row r="29" spans="1:13" ht="16.5">
      <c r="A29" s="6" t="s">
        <v>46</v>
      </c>
      <c r="B29" s="7" t="s">
        <v>22</v>
      </c>
      <c r="C29" s="8"/>
      <c r="D29" s="9"/>
      <c r="E29" s="10"/>
      <c r="F29" s="7"/>
      <c r="G29" s="11"/>
      <c r="H29" s="11"/>
      <c r="I29" s="11"/>
      <c r="J29" s="11"/>
      <c r="K29" s="11"/>
      <c r="L29" s="11"/>
      <c r="M29" s="11">
        <v>0</v>
      </c>
    </row>
    <row r="30" spans="1:13" ht="16.5">
      <c r="A30" s="13" t="s">
        <v>51</v>
      </c>
      <c r="B30" s="12" t="s">
        <v>22</v>
      </c>
      <c r="C30" s="20">
        <v>42649</v>
      </c>
      <c r="D30" s="21" t="s">
        <v>177</v>
      </c>
      <c r="E30" s="12">
        <v>42711</v>
      </c>
      <c r="F30" s="78" t="s">
        <v>174</v>
      </c>
      <c r="G30" s="14"/>
      <c r="H30" s="14"/>
      <c r="I30" s="14">
        <v>68.1</v>
      </c>
      <c r="J30" s="14"/>
      <c r="K30" s="14"/>
      <c r="L30" s="14"/>
      <c r="M30" s="63">
        <f aca="true" t="shared" si="5" ref="M30:M59">SUM(G30:L30)</f>
        <v>68.1</v>
      </c>
    </row>
    <row r="31" spans="1:13" ht="16.5">
      <c r="A31" s="13" t="s">
        <v>51</v>
      </c>
      <c r="B31" s="12" t="s">
        <v>22</v>
      </c>
      <c r="C31" s="20">
        <v>42649</v>
      </c>
      <c r="D31" s="21" t="s">
        <v>178</v>
      </c>
      <c r="E31" s="12">
        <v>42690</v>
      </c>
      <c r="F31" s="78" t="s">
        <v>174</v>
      </c>
      <c r="G31" s="14"/>
      <c r="H31" s="14"/>
      <c r="I31" s="14">
        <v>68.1</v>
      </c>
      <c r="J31" s="14"/>
      <c r="K31" s="14"/>
      <c r="L31" s="14"/>
      <c r="M31" s="63">
        <f t="shared" si="5"/>
        <v>68.1</v>
      </c>
    </row>
    <row r="32" spans="1:13" ht="16.5">
      <c r="A32" s="62" t="s">
        <v>51</v>
      </c>
      <c r="B32" s="61" t="s">
        <v>22</v>
      </c>
      <c r="C32" s="70" t="s">
        <v>176</v>
      </c>
      <c r="D32" s="78" t="s">
        <v>69</v>
      </c>
      <c r="E32" s="61">
        <v>42689</v>
      </c>
      <c r="F32" s="78" t="s">
        <v>174</v>
      </c>
      <c r="G32" s="63"/>
      <c r="H32" s="63"/>
      <c r="I32" s="63">
        <f>31.3+65.7</f>
        <v>97</v>
      </c>
      <c r="J32" s="63"/>
      <c r="K32" s="63"/>
      <c r="L32" s="63"/>
      <c r="M32" s="63">
        <f t="shared" si="5"/>
        <v>97</v>
      </c>
    </row>
    <row r="33" spans="1:13" ht="16.5">
      <c r="A33" s="62" t="s">
        <v>51</v>
      </c>
      <c r="B33" s="61" t="s">
        <v>22</v>
      </c>
      <c r="C33" s="70">
        <v>42682</v>
      </c>
      <c r="D33" s="78" t="s">
        <v>69</v>
      </c>
      <c r="E33" s="61">
        <v>42628</v>
      </c>
      <c r="F33" s="78" t="s">
        <v>174</v>
      </c>
      <c r="G33" s="63"/>
      <c r="H33" s="63"/>
      <c r="I33" s="112">
        <v>-57.1</v>
      </c>
      <c r="J33" s="63"/>
      <c r="K33" s="63"/>
      <c r="L33" s="63"/>
      <c r="M33" s="63">
        <f t="shared" si="5"/>
        <v>-57.1</v>
      </c>
    </row>
    <row r="34" spans="1:13" ht="16.5">
      <c r="A34" s="62" t="s">
        <v>51</v>
      </c>
      <c r="B34" s="61" t="s">
        <v>22</v>
      </c>
      <c r="C34" s="70">
        <v>42682</v>
      </c>
      <c r="D34" s="78" t="s">
        <v>96</v>
      </c>
      <c r="E34" s="61">
        <v>42621</v>
      </c>
      <c r="F34" s="78" t="s">
        <v>174</v>
      </c>
      <c r="G34" s="63"/>
      <c r="H34" s="63"/>
      <c r="I34" s="112">
        <v>-57.1</v>
      </c>
      <c r="J34" s="63"/>
      <c r="K34" s="63"/>
      <c r="L34" s="63"/>
      <c r="M34" s="63">
        <f t="shared" si="5"/>
        <v>-57.1</v>
      </c>
    </row>
    <row r="35" spans="1:13" ht="16.5">
      <c r="A35" s="62" t="s">
        <v>51</v>
      </c>
      <c r="B35" s="61" t="s">
        <v>22</v>
      </c>
      <c r="C35" s="70">
        <v>42719</v>
      </c>
      <c r="D35" s="78" t="s">
        <v>161</v>
      </c>
      <c r="E35" s="61">
        <v>42719</v>
      </c>
      <c r="F35" s="78" t="s">
        <v>174</v>
      </c>
      <c r="G35" s="63"/>
      <c r="H35" s="63"/>
      <c r="I35" s="63">
        <v>65.7</v>
      </c>
      <c r="J35" s="63"/>
      <c r="K35" s="63"/>
      <c r="L35" s="63"/>
      <c r="M35" s="63">
        <f t="shared" si="5"/>
        <v>65.7</v>
      </c>
    </row>
    <row r="36" spans="1:13" ht="16.5">
      <c r="A36" s="15" t="s">
        <v>52</v>
      </c>
      <c r="B36" s="16"/>
      <c r="C36" s="19"/>
      <c r="D36" s="18"/>
      <c r="E36" s="19"/>
      <c r="F36" s="16"/>
      <c r="G36" s="69">
        <f aca="true" t="shared" si="6" ref="G36:L36">SUBTOTAL(9,G30:G35)</f>
        <v>0</v>
      </c>
      <c r="H36" s="69">
        <f t="shared" si="6"/>
        <v>0</v>
      </c>
      <c r="I36" s="69">
        <f t="shared" si="6"/>
        <v>184.7</v>
      </c>
      <c r="J36" s="69">
        <f t="shared" si="6"/>
        <v>0</v>
      </c>
      <c r="K36" s="69">
        <f t="shared" si="6"/>
        <v>0</v>
      </c>
      <c r="L36" s="69">
        <f t="shared" si="6"/>
        <v>0</v>
      </c>
      <c r="M36" s="69">
        <f>SUBTOTAL(9,M30:M35)</f>
        <v>184.7</v>
      </c>
    </row>
    <row r="37" spans="1:13" ht="16.5">
      <c r="A37" s="13" t="s">
        <v>21</v>
      </c>
      <c r="B37" s="12" t="s">
        <v>22</v>
      </c>
      <c r="C37" s="20">
        <v>42655</v>
      </c>
      <c r="D37" s="21" t="s">
        <v>162</v>
      </c>
      <c r="E37" s="12">
        <v>42634</v>
      </c>
      <c r="F37" s="22" t="s">
        <v>91</v>
      </c>
      <c r="G37" s="14"/>
      <c r="H37" s="14"/>
      <c r="I37" s="14">
        <f>16.65+5.2+7</f>
        <v>28.849999999999998</v>
      </c>
      <c r="J37" s="14"/>
      <c r="K37" s="14">
        <f>112.65+20</f>
        <v>132.65</v>
      </c>
      <c r="L37" s="14">
        <v>27.5</v>
      </c>
      <c r="M37" s="63">
        <f t="shared" si="5"/>
        <v>189</v>
      </c>
    </row>
    <row r="38" spans="1:13" ht="16.5">
      <c r="A38" s="13" t="s">
        <v>21</v>
      </c>
      <c r="B38" s="12" t="s">
        <v>22</v>
      </c>
      <c r="C38" s="20" t="s">
        <v>170</v>
      </c>
      <c r="D38" s="21" t="s">
        <v>164</v>
      </c>
      <c r="E38" s="70" t="s">
        <v>165</v>
      </c>
      <c r="F38" s="22" t="s">
        <v>91</v>
      </c>
      <c r="G38" s="14"/>
      <c r="H38" s="14"/>
      <c r="I38" s="14">
        <f>8.5</f>
        <v>8.5</v>
      </c>
      <c r="J38" s="14">
        <f>72+90.45</f>
        <v>162.45</v>
      </c>
      <c r="K38" s="14">
        <f>15.9+20+13.35+556.8</f>
        <v>606.05</v>
      </c>
      <c r="L38" s="14">
        <v>55</v>
      </c>
      <c r="M38" s="63">
        <f t="shared" si="5"/>
        <v>832</v>
      </c>
    </row>
    <row r="39" spans="1:13" ht="16.5">
      <c r="A39" s="13" t="s">
        <v>21</v>
      </c>
      <c r="B39" s="12" t="s">
        <v>22</v>
      </c>
      <c r="C39" s="20">
        <v>42655</v>
      </c>
      <c r="D39" s="21" t="s">
        <v>161</v>
      </c>
      <c r="E39" s="12">
        <v>42607</v>
      </c>
      <c r="F39" s="22" t="s">
        <v>91</v>
      </c>
      <c r="G39" s="14"/>
      <c r="H39" s="14"/>
      <c r="I39" s="14"/>
      <c r="J39" s="14">
        <v>6.3</v>
      </c>
      <c r="K39" s="14">
        <v>5.55</v>
      </c>
      <c r="L39" s="14">
        <v>27.5</v>
      </c>
      <c r="M39" s="63">
        <f t="shared" si="5"/>
        <v>39.35</v>
      </c>
    </row>
    <row r="40" spans="1:13" ht="16.5">
      <c r="A40" s="13" t="s">
        <v>21</v>
      </c>
      <c r="B40" s="12" t="s">
        <v>22</v>
      </c>
      <c r="C40" s="20">
        <v>42655</v>
      </c>
      <c r="D40" s="21" t="s">
        <v>140</v>
      </c>
      <c r="E40" s="12">
        <v>42563</v>
      </c>
      <c r="F40" s="22" t="s">
        <v>91</v>
      </c>
      <c r="G40" s="14"/>
      <c r="H40" s="14"/>
      <c r="I40" s="14"/>
      <c r="J40" s="14"/>
      <c r="K40" s="14"/>
      <c r="L40" s="14">
        <v>76</v>
      </c>
      <c r="M40" s="63">
        <f t="shared" si="5"/>
        <v>76</v>
      </c>
    </row>
    <row r="41" spans="1:13" ht="16.5">
      <c r="A41" s="13" t="s">
        <v>21</v>
      </c>
      <c r="B41" s="12" t="s">
        <v>22</v>
      </c>
      <c r="C41" s="20">
        <v>42655</v>
      </c>
      <c r="D41" s="21" t="s">
        <v>161</v>
      </c>
      <c r="E41" s="12">
        <v>42587</v>
      </c>
      <c r="F41" s="22" t="s">
        <v>91</v>
      </c>
      <c r="G41" s="14"/>
      <c r="H41" s="14"/>
      <c r="I41" s="14"/>
      <c r="J41" s="14"/>
      <c r="K41" s="14"/>
      <c r="L41" s="14">
        <v>76</v>
      </c>
      <c r="M41" s="63">
        <f t="shared" si="5"/>
        <v>76</v>
      </c>
    </row>
    <row r="42" spans="1:13" ht="16.5">
      <c r="A42" s="13" t="s">
        <v>21</v>
      </c>
      <c r="B42" s="12" t="s">
        <v>22</v>
      </c>
      <c r="C42" s="20">
        <v>42655</v>
      </c>
      <c r="D42" s="78" t="s">
        <v>161</v>
      </c>
      <c r="E42" s="12">
        <v>42642</v>
      </c>
      <c r="F42" s="22" t="s">
        <v>91</v>
      </c>
      <c r="G42" s="14"/>
      <c r="H42" s="14"/>
      <c r="I42" s="14"/>
      <c r="J42" s="14">
        <v>6.3</v>
      </c>
      <c r="K42" s="14">
        <v>5.53</v>
      </c>
      <c r="L42" s="14">
        <v>27.5</v>
      </c>
      <c r="M42" s="63">
        <f t="shared" si="5"/>
        <v>39.33</v>
      </c>
    </row>
    <row r="43" spans="1:13" ht="16.5">
      <c r="A43" s="13" t="s">
        <v>21</v>
      </c>
      <c r="B43" s="12" t="s">
        <v>22</v>
      </c>
      <c r="C43" s="20">
        <v>42719</v>
      </c>
      <c r="D43" s="21" t="s">
        <v>69</v>
      </c>
      <c r="E43" s="12">
        <v>42690</v>
      </c>
      <c r="F43" s="71" t="s">
        <v>91</v>
      </c>
      <c r="G43" s="14">
        <v>213.15</v>
      </c>
      <c r="H43" s="14"/>
      <c r="I43" s="14"/>
      <c r="J43" s="14"/>
      <c r="K43" s="14"/>
      <c r="L43" s="14"/>
      <c r="M43" s="63">
        <f t="shared" si="5"/>
        <v>213.15</v>
      </c>
    </row>
    <row r="44" spans="1:13" ht="16.5">
      <c r="A44" s="15" t="s">
        <v>38</v>
      </c>
      <c r="B44" s="16"/>
      <c r="C44" s="19"/>
      <c r="D44" s="18"/>
      <c r="E44" s="19"/>
      <c r="F44" s="16"/>
      <c r="G44" s="69">
        <f aca="true" t="shared" si="7" ref="G44:M44">SUBTOTAL(9,G37:G43)</f>
        <v>213.15</v>
      </c>
      <c r="H44" s="69">
        <f t="shared" si="7"/>
        <v>0</v>
      </c>
      <c r="I44" s="69">
        <f t="shared" si="7"/>
        <v>37.349999999999994</v>
      </c>
      <c r="J44" s="69">
        <f t="shared" si="7"/>
        <v>175.05</v>
      </c>
      <c r="K44" s="69">
        <f t="shared" si="7"/>
        <v>749.7799999999999</v>
      </c>
      <c r="L44" s="69">
        <f t="shared" si="7"/>
        <v>289.5</v>
      </c>
      <c r="M44" s="33">
        <f t="shared" si="7"/>
        <v>1464.83</v>
      </c>
    </row>
    <row r="45" spans="1:13" ht="16.5">
      <c r="A45" s="12" t="s">
        <v>53</v>
      </c>
      <c r="B45" s="12" t="s">
        <v>22</v>
      </c>
      <c r="C45" s="20">
        <v>42649</v>
      </c>
      <c r="D45" s="21" t="s">
        <v>69</v>
      </c>
      <c r="E45" s="12">
        <v>42719</v>
      </c>
      <c r="F45" s="22" t="s">
        <v>94</v>
      </c>
      <c r="G45" s="14"/>
      <c r="H45" s="14"/>
      <c r="I45" s="14">
        <v>53.5</v>
      </c>
      <c r="J45" s="14"/>
      <c r="K45" s="14"/>
      <c r="L45" s="14"/>
      <c r="M45" s="63">
        <f t="shared" si="5"/>
        <v>53.5</v>
      </c>
    </row>
    <row r="46" spans="1:13" ht="16.5">
      <c r="A46" s="13" t="s">
        <v>53</v>
      </c>
      <c r="B46" s="12" t="s">
        <v>22</v>
      </c>
      <c r="C46" s="20">
        <v>42649</v>
      </c>
      <c r="D46" s="21" t="s">
        <v>177</v>
      </c>
      <c r="E46" s="12">
        <v>42711</v>
      </c>
      <c r="F46" s="71" t="s">
        <v>94</v>
      </c>
      <c r="G46" s="14"/>
      <c r="H46" s="14"/>
      <c r="I46" s="14">
        <v>53.5</v>
      </c>
      <c r="J46" s="14"/>
      <c r="K46" s="14"/>
      <c r="L46" s="14"/>
      <c r="M46" s="63">
        <f t="shared" si="5"/>
        <v>53.5</v>
      </c>
    </row>
    <row r="47" spans="1:13" ht="16.5">
      <c r="A47" s="13" t="s">
        <v>53</v>
      </c>
      <c r="B47" s="12" t="s">
        <v>22</v>
      </c>
      <c r="C47" s="20">
        <v>42649</v>
      </c>
      <c r="D47" s="21" t="s">
        <v>69</v>
      </c>
      <c r="E47" s="12">
        <v>42690</v>
      </c>
      <c r="F47" s="71" t="s">
        <v>94</v>
      </c>
      <c r="G47" s="14"/>
      <c r="H47" s="14"/>
      <c r="I47" s="14">
        <v>53.5</v>
      </c>
      <c r="J47" s="14"/>
      <c r="K47" s="14"/>
      <c r="L47" s="14"/>
      <c r="M47" s="63">
        <f t="shared" si="5"/>
        <v>53.5</v>
      </c>
    </row>
    <row r="48" spans="1:13" ht="16.5">
      <c r="A48" s="13" t="s">
        <v>53</v>
      </c>
      <c r="B48" s="12" t="s">
        <v>22</v>
      </c>
      <c r="C48" s="20">
        <v>42649</v>
      </c>
      <c r="D48" s="21" t="s">
        <v>161</v>
      </c>
      <c r="E48" s="12">
        <v>42698</v>
      </c>
      <c r="F48" s="71" t="s">
        <v>94</v>
      </c>
      <c r="G48" s="14"/>
      <c r="H48" s="14"/>
      <c r="I48" s="14">
        <v>53.5</v>
      </c>
      <c r="J48" s="14"/>
      <c r="K48" s="14"/>
      <c r="L48" s="14"/>
      <c r="M48" s="63">
        <f t="shared" si="5"/>
        <v>53.5</v>
      </c>
    </row>
    <row r="49" spans="1:13" ht="16.5">
      <c r="A49" s="13" t="s">
        <v>53</v>
      </c>
      <c r="B49" s="12" t="s">
        <v>22</v>
      </c>
      <c r="C49" s="20">
        <v>42649</v>
      </c>
      <c r="D49" s="21" t="s">
        <v>161</v>
      </c>
      <c r="E49" s="12">
        <v>42670</v>
      </c>
      <c r="F49" s="71" t="s">
        <v>94</v>
      </c>
      <c r="G49" s="14"/>
      <c r="H49" s="14"/>
      <c r="I49" s="14">
        <v>53.5</v>
      </c>
      <c r="J49" s="14"/>
      <c r="K49" s="14"/>
      <c r="L49" s="14"/>
      <c r="M49" s="63">
        <f t="shared" si="5"/>
        <v>53.5</v>
      </c>
    </row>
    <row r="50" spans="1:13" ht="16.5">
      <c r="A50" s="13" t="s">
        <v>53</v>
      </c>
      <c r="B50" s="12" t="s">
        <v>22</v>
      </c>
      <c r="C50" s="20">
        <v>42649</v>
      </c>
      <c r="D50" s="21" t="s">
        <v>161</v>
      </c>
      <c r="E50" s="12">
        <v>42642</v>
      </c>
      <c r="F50" s="71" t="s">
        <v>94</v>
      </c>
      <c r="G50" s="14"/>
      <c r="H50" s="14"/>
      <c r="I50" s="14">
        <v>53.5</v>
      </c>
      <c r="J50" s="14"/>
      <c r="K50" s="14"/>
      <c r="L50" s="14"/>
      <c r="M50" s="63">
        <f t="shared" si="5"/>
        <v>53.5</v>
      </c>
    </row>
    <row r="51" spans="1:13" ht="16.5">
      <c r="A51" s="13" t="s">
        <v>53</v>
      </c>
      <c r="B51" s="12" t="s">
        <v>22</v>
      </c>
      <c r="C51" s="20">
        <v>42649</v>
      </c>
      <c r="D51" s="21" t="s">
        <v>96</v>
      </c>
      <c r="E51" s="12">
        <v>42621</v>
      </c>
      <c r="F51" s="71" t="s">
        <v>94</v>
      </c>
      <c r="G51" s="14"/>
      <c r="H51" s="14"/>
      <c r="I51" s="14">
        <v>52.5</v>
      </c>
      <c r="J51" s="14"/>
      <c r="K51" s="14"/>
      <c r="L51" s="14"/>
      <c r="M51" s="63">
        <f t="shared" si="5"/>
        <v>52.5</v>
      </c>
    </row>
    <row r="52" spans="1:13" ht="16.5">
      <c r="A52" s="62" t="s">
        <v>53</v>
      </c>
      <c r="B52" s="61" t="s">
        <v>22</v>
      </c>
      <c r="C52" s="70">
        <v>42719</v>
      </c>
      <c r="D52" s="78" t="s">
        <v>69</v>
      </c>
      <c r="E52" s="61">
        <v>42627</v>
      </c>
      <c r="F52" s="71" t="s">
        <v>94</v>
      </c>
      <c r="G52" s="63"/>
      <c r="H52" s="63"/>
      <c r="I52" s="63">
        <v>53.5</v>
      </c>
      <c r="J52" s="63"/>
      <c r="K52" s="63"/>
      <c r="L52" s="63"/>
      <c r="M52" s="63">
        <f t="shared" si="5"/>
        <v>53.5</v>
      </c>
    </row>
    <row r="53" spans="1:13" ht="16.5">
      <c r="A53" s="15" t="s">
        <v>54</v>
      </c>
      <c r="B53" s="16"/>
      <c r="C53" s="19"/>
      <c r="D53" s="18"/>
      <c r="E53" s="19"/>
      <c r="F53" s="16"/>
      <c r="G53" s="69">
        <f aca="true" t="shared" si="8" ref="G53:L53">SUBTOTAL(9,G45:G52)</f>
        <v>0</v>
      </c>
      <c r="H53" s="69">
        <f t="shared" si="8"/>
        <v>0</v>
      </c>
      <c r="I53" s="69">
        <f t="shared" si="8"/>
        <v>427</v>
      </c>
      <c r="J53" s="69">
        <f t="shared" si="8"/>
        <v>0</v>
      </c>
      <c r="K53" s="69">
        <f t="shared" si="8"/>
        <v>0</v>
      </c>
      <c r="L53" s="69">
        <f t="shared" si="8"/>
        <v>0</v>
      </c>
      <c r="M53" s="33">
        <f>SUBTOTAL(9,M45:M52)</f>
        <v>427</v>
      </c>
    </row>
    <row r="54" spans="1:17" ht="16.5">
      <c r="A54" s="13" t="s">
        <v>19</v>
      </c>
      <c r="B54" s="13" t="s">
        <v>22</v>
      </c>
      <c r="C54" s="32">
        <v>42667</v>
      </c>
      <c r="D54" s="21" t="s">
        <v>119</v>
      </c>
      <c r="E54" s="20">
        <v>42657</v>
      </c>
      <c r="F54" s="22" t="s">
        <v>87</v>
      </c>
      <c r="G54" s="14"/>
      <c r="H54" s="14"/>
      <c r="I54" s="14">
        <v>67.1</v>
      </c>
      <c r="J54" s="14">
        <v>5.7</v>
      </c>
      <c r="K54" s="14"/>
      <c r="L54" s="14"/>
      <c r="M54" s="63">
        <f t="shared" si="5"/>
        <v>72.8</v>
      </c>
      <c r="Q54" s="53"/>
    </row>
    <row r="55" spans="1:17" ht="16.5">
      <c r="A55" s="13" t="s">
        <v>19</v>
      </c>
      <c r="B55" s="13" t="s">
        <v>22</v>
      </c>
      <c r="C55" s="20">
        <v>42667</v>
      </c>
      <c r="D55" s="21" t="s">
        <v>166</v>
      </c>
      <c r="E55" s="20">
        <v>42660</v>
      </c>
      <c r="F55" s="22" t="s">
        <v>87</v>
      </c>
      <c r="G55" s="14"/>
      <c r="H55" s="14"/>
      <c r="I55" s="14">
        <v>66.6</v>
      </c>
      <c r="J55" s="14">
        <v>5.7</v>
      </c>
      <c r="K55" s="14"/>
      <c r="L55" s="14"/>
      <c r="M55" s="63">
        <f t="shared" si="5"/>
        <v>72.3</v>
      </c>
      <c r="Q55" s="53"/>
    </row>
    <row r="56" spans="1:17" ht="16.5">
      <c r="A56" s="13" t="s">
        <v>19</v>
      </c>
      <c r="B56" s="13" t="s">
        <v>22</v>
      </c>
      <c r="C56" s="32">
        <v>42696</v>
      </c>
      <c r="D56" s="32" t="s">
        <v>69</v>
      </c>
      <c r="E56" s="20">
        <v>42690</v>
      </c>
      <c r="F56" s="22" t="s">
        <v>87</v>
      </c>
      <c r="G56" s="14"/>
      <c r="H56" s="14"/>
      <c r="I56" s="14">
        <v>67.1</v>
      </c>
      <c r="J56" s="14">
        <v>5.7</v>
      </c>
      <c r="K56" s="14"/>
      <c r="L56" s="14"/>
      <c r="M56" s="63">
        <f t="shared" si="5"/>
        <v>72.8</v>
      </c>
      <c r="Q56" s="53"/>
    </row>
    <row r="57" spans="1:17" ht="16.5">
      <c r="A57" s="62" t="s">
        <v>19</v>
      </c>
      <c r="B57" s="62" t="s">
        <v>22</v>
      </c>
      <c r="C57" s="79">
        <v>42723</v>
      </c>
      <c r="D57" s="79" t="s">
        <v>96</v>
      </c>
      <c r="E57" s="70">
        <v>42684</v>
      </c>
      <c r="F57" s="71" t="s">
        <v>87</v>
      </c>
      <c r="G57" s="63"/>
      <c r="H57" s="63"/>
      <c r="I57" s="63">
        <v>67.1</v>
      </c>
      <c r="J57" s="63">
        <v>5.7</v>
      </c>
      <c r="K57" s="63"/>
      <c r="L57" s="63"/>
      <c r="M57" s="63">
        <f t="shared" si="5"/>
        <v>72.8</v>
      </c>
      <c r="Q57" s="80"/>
    </row>
    <row r="58" spans="1:17" ht="16.5">
      <c r="A58" s="62" t="s">
        <v>19</v>
      </c>
      <c r="B58" s="62" t="s">
        <v>22</v>
      </c>
      <c r="C58" s="79">
        <v>42723</v>
      </c>
      <c r="D58" s="79" t="s">
        <v>167</v>
      </c>
      <c r="E58" s="70">
        <v>42704</v>
      </c>
      <c r="F58" s="71" t="s">
        <v>87</v>
      </c>
      <c r="G58" s="63"/>
      <c r="H58" s="63"/>
      <c r="I58" s="63">
        <v>67.1</v>
      </c>
      <c r="J58" s="63">
        <v>5.7</v>
      </c>
      <c r="K58" s="63"/>
      <c r="L58" s="63"/>
      <c r="M58" s="63">
        <f t="shared" si="5"/>
        <v>72.8</v>
      </c>
      <c r="Q58" s="80"/>
    </row>
    <row r="59" spans="1:17" ht="16.5">
      <c r="A59" s="62" t="s">
        <v>19</v>
      </c>
      <c r="B59" s="62" t="s">
        <v>22</v>
      </c>
      <c r="C59" s="79">
        <v>42726</v>
      </c>
      <c r="D59" s="79" t="s">
        <v>168</v>
      </c>
      <c r="E59" s="70">
        <v>42711</v>
      </c>
      <c r="F59" s="71" t="s">
        <v>87</v>
      </c>
      <c r="G59" s="63"/>
      <c r="H59" s="63"/>
      <c r="I59" s="63">
        <v>67.1</v>
      </c>
      <c r="J59" s="63">
        <v>5.7</v>
      </c>
      <c r="K59" s="63"/>
      <c r="L59" s="63">
        <v>130</v>
      </c>
      <c r="M59" s="63">
        <f t="shared" si="5"/>
        <v>202.8</v>
      </c>
      <c r="Q59" s="80"/>
    </row>
    <row r="60" spans="1:17" ht="16.5">
      <c r="A60" s="15" t="s">
        <v>23</v>
      </c>
      <c r="B60" s="16"/>
      <c r="C60" s="17"/>
      <c r="D60" s="18"/>
      <c r="E60" s="19"/>
      <c r="F60" s="16"/>
      <c r="G60" s="69">
        <f aca="true" t="shared" si="9" ref="G60:L60">SUBTOTAL(9,G54:G59)</f>
        <v>0</v>
      </c>
      <c r="H60" s="69">
        <f t="shared" si="9"/>
        <v>0</v>
      </c>
      <c r="I60" s="69">
        <f t="shared" si="9"/>
        <v>402.1</v>
      </c>
      <c r="J60" s="69">
        <f t="shared" si="9"/>
        <v>34.2</v>
      </c>
      <c r="K60" s="69">
        <f t="shared" si="9"/>
        <v>0</v>
      </c>
      <c r="L60" s="69">
        <f t="shared" si="9"/>
        <v>130</v>
      </c>
      <c r="M60" s="33">
        <f>SUBTOTAL(9,M54:M59)</f>
        <v>566.3</v>
      </c>
      <c r="Q60" s="53"/>
    </row>
    <row r="61" spans="1:13" ht="16.5">
      <c r="A61" s="6" t="s">
        <v>56</v>
      </c>
      <c r="B61" s="7"/>
      <c r="C61" s="8"/>
      <c r="D61" s="9"/>
      <c r="E61" s="23"/>
      <c r="F61" s="7"/>
      <c r="G61" s="11"/>
      <c r="H61" s="11"/>
      <c r="I61" s="11"/>
      <c r="J61" s="11"/>
      <c r="K61" s="11"/>
      <c r="L61" s="11"/>
      <c r="M61" s="11">
        <v>0</v>
      </c>
    </row>
    <row r="62" spans="1:13" ht="16.5">
      <c r="A62" s="13" t="s">
        <v>58</v>
      </c>
      <c r="B62" s="13" t="s">
        <v>22</v>
      </c>
      <c r="C62" s="32">
        <v>42670</v>
      </c>
      <c r="D62" s="21" t="s">
        <v>69</v>
      </c>
      <c r="E62" s="20">
        <v>42627</v>
      </c>
      <c r="F62" s="14" t="s">
        <v>123</v>
      </c>
      <c r="G62" s="14"/>
      <c r="H62" s="14"/>
      <c r="I62" s="14"/>
      <c r="J62" s="14">
        <f>7.6+8.15</f>
        <v>15.75</v>
      </c>
      <c r="K62" s="14"/>
      <c r="L62" s="14"/>
      <c r="M62" s="63">
        <f aca="true" t="shared" si="10" ref="M62:M73">SUM(G62:L62)</f>
        <v>15.75</v>
      </c>
    </row>
    <row r="63" spans="1:13" ht="16.5">
      <c r="A63" s="62" t="s">
        <v>58</v>
      </c>
      <c r="B63" s="13" t="s">
        <v>22</v>
      </c>
      <c r="C63" s="70" t="s">
        <v>173</v>
      </c>
      <c r="D63" s="78" t="s">
        <v>69</v>
      </c>
      <c r="E63" s="20">
        <v>42690</v>
      </c>
      <c r="F63" s="14" t="s">
        <v>123</v>
      </c>
      <c r="G63" s="14"/>
      <c r="H63" s="14"/>
      <c r="I63" s="14">
        <v>251</v>
      </c>
      <c r="J63" s="14">
        <f>7.9+8.6</f>
        <v>16.5</v>
      </c>
      <c r="K63" s="14"/>
      <c r="L63" s="14"/>
      <c r="M63" s="63">
        <f t="shared" si="10"/>
        <v>267.5</v>
      </c>
    </row>
    <row r="64" spans="1:13" ht="16.5">
      <c r="A64" s="62" t="s">
        <v>58</v>
      </c>
      <c r="B64" s="13" t="s">
        <v>22</v>
      </c>
      <c r="C64" s="20">
        <v>42723</v>
      </c>
      <c r="D64" s="32" t="s">
        <v>166</v>
      </c>
      <c r="E64" s="20">
        <v>42655</v>
      </c>
      <c r="F64" s="14" t="s">
        <v>123</v>
      </c>
      <c r="G64" s="14"/>
      <c r="H64" s="14"/>
      <c r="I64" s="14"/>
      <c r="J64" s="14">
        <f>7.9+8</f>
        <v>15.9</v>
      </c>
      <c r="K64" s="14"/>
      <c r="L64" s="14"/>
      <c r="M64" s="63">
        <f t="shared" si="10"/>
        <v>15.9</v>
      </c>
    </row>
    <row r="65" spans="1:13" ht="16.5">
      <c r="A65" s="62" t="s">
        <v>58</v>
      </c>
      <c r="B65" s="13" t="s">
        <v>22</v>
      </c>
      <c r="C65" s="20">
        <v>42649</v>
      </c>
      <c r="D65" s="79" t="s">
        <v>166</v>
      </c>
      <c r="E65" s="20">
        <v>42660</v>
      </c>
      <c r="F65" s="14" t="s">
        <v>123</v>
      </c>
      <c r="G65" s="14"/>
      <c r="H65" s="14"/>
      <c r="I65" s="14">
        <v>251</v>
      </c>
      <c r="J65" s="14"/>
      <c r="K65" s="14"/>
      <c r="L65" s="14"/>
      <c r="M65" s="63">
        <f t="shared" si="10"/>
        <v>251</v>
      </c>
    </row>
    <row r="66" spans="1:13" ht="16.5">
      <c r="A66" s="62" t="s">
        <v>58</v>
      </c>
      <c r="B66" s="13" t="s">
        <v>22</v>
      </c>
      <c r="C66" s="32">
        <v>42719</v>
      </c>
      <c r="D66" s="21" t="s">
        <v>69</v>
      </c>
      <c r="E66" s="20">
        <v>42718</v>
      </c>
      <c r="F66" s="14" t="s">
        <v>123</v>
      </c>
      <c r="G66" s="14"/>
      <c r="H66" s="14">
        <v>244.66</v>
      </c>
      <c r="I66" s="14"/>
      <c r="J66" s="14"/>
      <c r="K66" s="14"/>
      <c r="L66" s="14"/>
      <c r="M66" s="63">
        <f t="shared" si="10"/>
        <v>244.66</v>
      </c>
    </row>
    <row r="67" spans="1:13" ht="16.5">
      <c r="A67" s="15" t="s">
        <v>136</v>
      </c>
      <c r="B67" s="16"/>
      <c r="C67" s="17"/>
      <c r="D67" s="18"/>
      <c r="E67" s="19"/>
      <c r="F67" s="16"/>
      <c r="G67" s="69">
        <f aca="true" t="shared" si="11" ref="G67:L67">SUBTOTAL(9,G62:G66)</f>
        <v>0</v>
      </c>
      <c r="H67" s="69">
        <f t="shared" si="11"/>
        <v>244.66</v>
      </c>
      <c r="I67" s="69">
        <f t="shared" si="11"/>
        <v>502</v>
      </c>
      <c r="J67" s="69">
        <f t="shared" si="11"/>
        <v>48.15</v>
      </c>
      <c r="K67" s="69">
        <f t="shared" si="11"/>
        <v>0</v>
      </c>
      <c r="L67" s="69">
        <f t="shared" si="11"/>
        <v>0</v>
      </c>
      <c r="M67" s="33">
        <f>SUBTOTAL(9,M62:M66)</f>
        <v>794.81</v>
      </c>
    </row>
    <row r="68" spans="1:13" ht="16.5">
      <c r="A68" s="13" t="s">
        <v>25</v>
      </c>
      <c r="B68" s="13" t="s">
        <v>22</v>
      </c>
      <c r="C68" s="32">
        <v>42648</v>
      </c>
      <c r="D68" s="21" t="s">
        <v>69</v>
      </c>
      <c r="E68" s="20">
        <v>42557</v>
      </c>
      <c r="F68" s="14" t="s">
        <v>101</v>
      </c>
      <c r="G68" s="14"/>
      <c r="H68" s="14"/>
      <c r="I68" s="14">
        <v>82.5</v>
      </c>
      <c r="J68" s="14"/>
      <c r="K68" s="14"/>
      <c r="L68" s="14"/>
      <c r="M68" s="63">
        <f t="shared" si="10"/>
        <v>82.5</v>
      </c>
    </row>
    <row r="69" spans="1:13" ht="16.5">
      <c r="A69" s="13" t="s">
        <v>25</v>
      </c>
      <c r="B69" s="13" t="s">
        <v>22</v>
      </c>
      <c r="C69" s="32">
        <v>42648</v>
      </c>
      <c r="D69" s="32" t="s">
        <v>96</v>
      </c>
      <c r="E69" s="20">
        <v>42621</v>
      </c>
      <c r="F69" s="14" t="s">
        <v>101</v>
      </c>
      <c r="G69" s="14"/>
      <c r="H69" s="14"/>
      <c r="I69" s="14">
        <v>41.25</v>
      </c>
      <c r="J69" s="14"/>
      <c r="K69" s="14"/>
      <c r="L69" s="14"/>
      <c r="M69" s="63">
        <f t="shared" si="10"/>
        <v>41.25</v>
      </c>
    </row>
    <row r="70" spans="1:13" ht="16.5">
      <c r="A70" s="13" t="s">
        <v>25</v>
      </c>
      <c r="B70" s="13" t="s">
        <v>22</v>
      </c>
      <c r="C70" s="32">
        <v>42719</v>
      </c>
      <c r="D70" s="32" t="s">
        <v>69</v>
      </c>
      <c r="E70" s="20">
        <v>42689</v>
      </c>
      <c r="F70" s="63" t="s">
        <v>101</v>
      </c>
      <c r="G70" s="14"/>
      <c r="H70" s="14"/>
      <c r="I70" s="14"/>
      <c r="J70" s="14"/>
      <c r="K70" s="14">
        <v>184.6</v>
      </c>
      <c r="L70" s="14"/>
      <c r="M70" s="63">
        <f t="shared" si="10"/>
        <v>184.6</v>
      </c>
    </row>
    <row r="71" spans="1:13" ht="16.5">
      <c r="A71" s="15" t="s">
        <v>40</v>
      </c>
      <c r="B71" s="16" t="s">
        <v>22</v>
      </c>
      <c r="C71" s="17"/>
      <c r="D71" s="18"/>
      <c r="E71" s="19"/>
      <c r="F71" s="16"/>
      <c r="G71" s="69">
        <f aca="true" t="shared" si="12" ref="G71:M71">SUBTOTAL(9,G68:G70)</f>
        <v>0</v>
      </c>
      <c r="H71" s="69">
        <f t="shared" si="12"/>
        <v>0</v>
      </c>
      <c r="I71" s="69">
        <f t="shared" si="12"/>
        <v>123.75</v>
      </c>
      <c r="J71" s="69">
        <f t="shared" si="12"/>
        <v>0</v>
      </c>
      <c r="K71" s="69">
        <f t="shared" si="12"/>
        <v>184.6</v>
      </c>
      <c r="L71" s="69">
        <f t="shared" si="12"/>
        <v>0</v>
      </c>
      <c r="M71" s="33">
        <f t="shared" si="12"/>
        <v>308.35</v>
      </c>
    </row>
    <row r="72" spans="1:13" ht="16.5">
      <c r="A72" s="72" t="s">
        <v>48</v>
      </c>
      <c r="B72" s="73" t="s">
        <v>22</v>
      </c>
      <c r="C72" s="74"/>
      <c r="D72" s="75"/>
      <c r="E72" s="81"/>
      <c r="F72" s="73"/>
      <c r="G72" s="77">
        <v>0</v>
      </c>
      <c r="H72" s="77">
        <v>0</v>
      </c>
      <c r="I72" s="77">
        <v>0</v>
      </c>
      <c r="J72" s="77">
        <v>0</v>
      </c>
      <c r="K72" s="77">
        <v>0</v>
      </c>
      <c r="L72" s="77">
        <v>0</v>
      </c>
      <c r="M72" s="77">
        <v>0</v>
      </c>
    </row>
    <row r="73" spans="1:13" ht="16.5">
      <c r="A73" s="62" t="s">
        <v>59</v>
      </c>
      <c r="B73" s="62" t="s">
        <v>22</v>
      </c>
      <c r="C73" s="79">
        <v>42670</v>
      </c>
      <c r="D73" s="78" t="s">
        <v>169</v>
      </c>
      <c r="E73" s="70" t="s">
        <v>165</v>
      </c>
      <c r="F73" s="63" t="s">
        <v>103</v>
      </c>
      <c r="G73" s="63"/>
      <c r="H73" s="63"/>
      <c r="I73" s="63">
        <f>67+7.5</f>
        <v>74.5</v>
      </c>
      <c r="J73" s="63">
        <f>11</f>
        <v>11</v>
      </c>
      <c r="K73" s="63">
        <f>85+20+8</f>
        <v>113</v>
      </c>
      <c r="L73" s="63"/>
      <c r="M73" s="63">
        <f t="shared" si="10"/>
        <v>198.5</v>
      </c>
    </row>
    <row r="74" spans="1:13" ht="16.5">
      <c r="A74" s="64" t="s">
        <v>137</v>
      </c>
      <c r="B74" s="65" t="s">
        <v>22</v>
      </c>
      <c r="C74" s="66"/>
      <c r="D74" s="67"/>
      <c r="E74" s="68"/>
      <c r="F74" s="65"/>
      <c r="G74" s="69">
        <f aca="true" t="shared" si="13" ref="G74:M74">SUBTOTAL(9,G73:G73)</f>
        <v>0</v>
      </c>
      <c r="H74" s="69">
        <f t="shared" si="13"/>
        <v>0</v>
      </c>
      <c r="I74" s="69">
        <f t="shared" si="13"/>
        <v>74.5</v>
      </c>
      <c r="J74" s="69">
        <f t="shared" si="13"/>
        <v>11</v>
      </c>
      <c r="K74" s="69">
        <f t="shared" si="13"/>
        <v>113</v>
      </c>
      <c r="L74" s="69">
        <f t="shared" si="13"/>
        <v>0</v>
      </c>
      <c r="M74" s="69">
        <f t="shared" si="13"/>
        <v>198.5</v>
      </c>
    </row>
    <row r="75" spans="1:13" ht="16.5">
      <c r="A75" s="6" t="s">
        <v>143</v>
      </c>
      <c r="B75" s="7" t="s">
        <v>22</v>
      </c>
      <c r="C75" s="8"/>
      <c r="D75" s="9"/>
      <c r="E75" s="23"/>
      <c r="F75" s="7"/>
      <c r="G75" s="11"/>
      <c r="H75" s="11"/>
      <c r="I75" s="11"/>
      <c r="J75" s="11"/>
      <c r="K75" s="11"/>
      <c r="L75" s="11"/>
      <c r="M75" s="11">
        <v>0</v>
      </c>
    </row>
    <row r="76" spans="1:13" ht="17.25" thickBot="1">
      <c r="A76" s="24"/>
      <c r="B76" s="24"/>
      <c r="C76" s="25"/>
      <c r="D76" s="24"/>
      <c r="E76" s="24"/>
      <c r="F76" s="26"/>
      <c r="G76" s="27">
        <f aca="true" t="shared" si="14" ref="G76:M76">SUBTOTAL(9,G3:G75)</f>
        <v>477.13</v>
      </c>
      <c r="H76" s="27">
        <f t="shared" si="14"/>
        <v>244.66</v>
      </c>
      <c r="I76" s="27">
        <f t="shared" si="14"/>
        <v>7117.860000000003</v>
      </c>
      <c r="J76" s="27">
        <f t="shared" si="14"/>
        <v>778.8000000000001</v>
      </c>
      <c r="K76" s="27">
        <f t="shared" si="14"/>
        <v>2750.8500000000004</v>
      </c>
      <c r="L76" s="27">
        <f t="shared" si="14"/>
        <v>419.5</v>
      </c>
      <c r="M76" s="27">
        <f t="shared" si="14"/>
        <v>11788.799999999996</v>
      </c>
    </row>
    <row r="77" spans="1:18" ht="17.25" thickTop="1">
      <c r="A77" s="38"/>
      <c r="B77" s="38"/>
      <c r="C77" s="40"/>
      <c r="D77" s="38"/>
      <c r="E77" s="38"/>
      <c r="F77" s="38"/>
      <c r="G77" s="41"/>
      <c r="H77" s="41"/>
      <c r="I77" s="41"/>
      <c r="J77" s="41"/>
      <c r="K77" s="41"/>
      <c r="L77" s="41"/>
      <c r="M77" s="41"/>
      <c r="O77" s="108"/>
      <c r="R77" s="54"/>
    </row>
    <row r="78" spans="5:15" ht="16.5">
      <c r="E78" s="52"/>
      <c r="F78" s="52"/>
      <c r="O78" s="108"/>
    </row>
    <row r="79" spans="1:15" ht="17.25" thickBot="1">
      <c r="A79" s="38"/>
      <c r="B79" s="38"/>
      <c r="C79" s="40"/>
      <c r="D79" s="38"/>
      <c r="E79" s="38"/>
      <c r="F79" s="38"/>
      <c r="G79" s="41"/>
      <c r="H79" s="41"/>
      <c r="I79" s="41"/>
      <c r="J79" s="41"/>
      <c r="K79" s="41"/>
      <c r="L79" s="41"/>
      <c r="M79" s="41"/>
      <c r="O79" s="108"/>
    </row>
    <row r="80" spans="1:13" ht="17.25" thickBot="1">
      <c r="A80" s="38"/>
      <c r="B80" s="38"/>
      <c r="C80" s="38"/>
      <c r="D80" s="38"/>
      <c r="E80" s="38"/>
      <c r="F80" s="34" t="s">
        <v>28</v>
      </c>
      <c r="G80" s="35"/>
      <c r="H80" s="35"/>
      <c r="I80" s="35"/>
      <c r="J80" s="35"/>
      <c r="K80" s="35"/>
      <c r="L80" s="35"/>
      <c r="M80" s="36"/>
    </row>
    <row r="81" spans="1:13" ht="52.5">
      <c r="A81" s="38"/>
      <c r="B81" s="38"/>
      <c r="C81" s="38"/>
      <c r="D81" s="38"/>
      <c r="E81" s="38"/>
      <c r="F81" s="42"/>
      <c r="G81" s="43" t="s">
        <v>6</v>
      </c>
      <c r="H81" s="28" t="s">
        <v>29</v>
      </c>
      <c r="I81" s="28" t="s">
        <v>8</v>
      </c>
      <c r="J81" s="28" t="s">
        <v>9</v>
      </c>
      <c r="K81" s="28" t="s">
        <v>10</v>
      </c>
      <c r="L81" s="28" t="s">
        <v>11</v>
      </c>
      <c r="M81" s="29" t="s">
        <v>30</v>
      </c>
    </row>
    <row r="82" spans="1:13" ht="16.5">
      <c r="A82" s="38"/>
      <c r="B82" s="38"/>
      <c r="C82" s="39"/>
      <c r="D82" s="38"/>
      <c r="E82" s="38"/>
      <c r="F82" s="44" t="s">
        <v>31</v>
      </c>
      <c r="G82" s="30">
        <f>G76-G83</f>
        <v>477.13</v>
      </c>
      <c r="H82" s="30">
        <f aca="true" t="shared" si="15" ref="H82:M82">H76-H83</f>
        <v>244.66</v>
      </c>
      <c r="I82" s="30">
        <f t="shared" si="15"/>
        <v>7117.860000000003</v>
      </c>
      <c r="J82" s="30">
        <f t="shared" si="15"/>
        <v>778.8000000000001</v>
      </c>
      <c r="K82" s="30">
        <f t="shared" si="15"/>
        <v>2750.8500000000004</v>
      </c>
      <c r="L82" s="30">
        <f t="shared" si="15"/>
        <v>419.5</v>
      </c>
      <c r="M82" s="30">
        <f t="shared" si="15"/>
        <v>11788.799999999996</v>
      </c>
    </row>
    <row r="83" spans="1:13" ht="16.5">
      <c r="A83" s="38"/>
      <c r="B83" s="38"/>
      <c r="C83" s="39"/>
      <c r="D83" s="38"/>
      <c r="E83" s="38"/>
      <c r="F83" s="44" t="s">
        <v>32</v>
      </c>
      <c r="G83" s="30">
        <f aca="true" t="shared" si="16" ref="G83:L83">G3</f>
        <v>0</v>
      </c>
      <c r="H83" s="30">
        <f t="shared" si="16"/>
        <v>0</v>
      </c>
      <c r="I83" s="30">
        <f t="shared" si="16"/>
        <v>0</v>
      </c>
      <c r="J83" s="30">
        <f t="shared" si="16"/>
        <v>0</v>
      </c>
      <c r="K83" s="30">
        <f t="shared" si="16"/>
        <v>0</v>
      </c>
      <c r="L83" s="30">
        <f t="shared" si="16"/>
        <v>0</v>
      </c>
      <c r="M83" s="30">
        <f>SUM(G83:L83)</f>
        <v>0</v>
      </c>
    </row>
    <row r="84" spans="1:14" ht="16.5">
      <c r="A84" s="38"/>
      <c r="B84" s="38"/>
      <c r="C84" s="39"/>
      <c r="D84" s="38"/>
      <c r="E84" s="38"/>
      <c r="F84" s="45" t="s">
        <v>33</v>
      </c>
      <c r="G84" s="37">
        <f>SUM(G82:G83)</f>
        <v>477.13</v>
      </c>
      <c r="H84" s="37">
        <f>SUM(H82:H83)</f>
        <v>244.66</v>
      </c>
      <c r="I84" s="37">
        <f>SUM(I82:I83)</f>
        <v>7117.860000000003</v>
      </c>
      <c r="J84" s="37">
        <f>SUM(J82:J83)</f>
        <v>778.8000000000001</v>
      </c>
      <c r="K84" s="37">
        <f>SUM(K82:K83)</f>
        <v>2750.8500000000004</v>
      </c>
      <c r="L84" s="37">
        <f>SUM(L82:L83)</f>
        <v>419.5</v>
      </c>
      <c r="M84" s="113">
        <f>SUM(G84:L84)</f>
        <v>11788.800000000003</v>
      </c>
      <c r="N84" s="114"/>
    </row>
    <row r="85" spans="1:13" ht="16.5">
      <c r="A85" s="38"/>
      <c r="B85" s="38"/>
      <c r="C85" s="39"/>
      <c r="D85" s="38"/>
      <c r="E85" s="38"/>
      <c r="F85" s="44" t="s">
        <v>34</v>
      </c>
      <c r="G85" s="31" t="s">
        <v>37</v>
      </c>
      <c r="H85" s="31"/>
      <c r="I85" s="31" t="s">
        <v>37</v>
      </c>
      <c r="J85" s="31" t="s">
        <v>37</v>
      </c>
      <c r="K85" s="31" t="s">
        <v>37</v>
      </c>
      <c r="L85" s="31" t="s">
        <v>37</v>
      </c>
      <c r="M85" s="30">
        <f>SUM(G85:L85)</f>
        <v>0</v>
      </c>
    </row>
    <row r="86" spans="1:13" ht="16.5">
      <c r="A86" s="38"/>
      <c r="B86" s="38"/>
      <c r="C86" s="39"/>
      <c r="D86" s="38"/>
      <c r="E86" s="38"/>
      <c r="F86" s="44" t="s">
        <v>45</v>
      </c>
      <c r="G86" s="31" t="s">
        <v>37</v>
      </c>
      <c r="H86" s="46"/>
      <c r="I86" s="31" t="s">
        <v>37</v>
      </c>
      <c r="J86" s="31" t="s">
        <v>37</v>
      </c>
      <c r="K86" s="31" t="s">
        <v>37</v>
      </c>
      <c r="L86" s="31" t="s">
        <v>37</v>
      </c>
      <c r="M86" s="30">
        <f>SUM(G86:L86)</f>
        <v>0</v>
      </c>
    </row>
    <row r="87" spans="1:13" ht="17.25" thickBot="1">
      <c r="A87" s="38"/>
      <c r="B87" s="38"/>
      <c r="C87" s="39"/>
      <c r="D87" s="38"/>
      <c r="E87" s="38"/>
      <c r="F87" s="47" t="s">
        <v>35</v>
      </c>
      <c r="G87" s="48">
        <f>SUM(G84:G86)</f>
        <v>477.13</v>
      </c>
      <c r="H87" s="48">
        <f>SUM(H84:H86)</f>
        <v>244.66</v>
      </c>
      <c r="I87" s="48">
        <f>SUM(I84:I86)</f>
        <v>7117.860000000003</v>
      </c>
      <c r="J87" s="48">
        <f>SUM(J84:J86)</f>
        <v>778.8000000000001</v>
      </c>
      <c r="K87" s="48">
        <f>SUM(K84:K86)</f>
        <v>2750.8500000000004</v>
      </c>
      <c r="L87" s="48">
        <f>SUM(L84:L86)</f>
        <v>419.5</v>
      </c>
      <c r="M87" s="50">
        <f>SUM(G87:L87)</f>
        <v>11788.800000000003</v>
      </c>
    </row>
    <row r="88" spans="1:13" ht="16.5">
      <c r="A88" s="38"/>
      <c r="B88" s="38"/>
      <c r="C88" s="38"/>
      <c r="D88" s="38"/>
      <c r="E88" s="38"/>
      <c r="F88" s="38"/>
      <c r="G88" s="41"/>
      <c r="H88" s="41"/>
      <c r="I88" s="41"/>
      <c r="J88" s="41"/>
      <c r="K88" s="41"/>
      <c r="L88" s="41"/>
      <c r="M88" s="41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G2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82"/>
  <sheetViews>
    <sheetView zoomScalePageLayoutView="0" workbookViewId="0" topLeftCell="A4">
      <selection activeCell="C66" sqref="C66:M68"/>
    </sheetView>
  </sheetViews>
  <sheetFormatPr defaultColWidth="9.140625" defaultRowHeight="15"/>
  <cols>
    <col min="1" max="1" width="13.421875" style="49" customWidth="1"/>
    <col min="2" max="2" width="29.8515625" style="49" customWidth="1"/>
    <col min="3" max="3" width="29.28125" style="49" customWidth="1"/>
    <col min="4" max="4" width="19.57421875" style="49" customWidth="1"/>
    <col min="5" max="5" width="12.57421875" style="49" customWidth="1"/>
    <col min="6" max="6" width="20.8515625" style="49" customWidth="1"/>
    <col min="7" max="7" width="8.140625" style="49" customWidth="1"/>
    <col min="8" max="8" width="9.140625" style="49" customWidth="1"/>
    <col min="9" max="9" width="10.7109375" style="49" customWidth="1"/>
    <col min="10" max="14" width="9.140625" style="49" customWidth="1"/>
    <col min="15" max="15" width="10.00390625" style="49" bestFit="1" customWidth="1"/>
    <col min="16" max="18" width="9.140625" style="49" customWidth="1"/>
    <col min="19" max="19" width="17.00390625" style="49" customWidth="1"/>
    <col min="20" max="16384" width="9.140625" style="49" customWidth="1"/>
  </cols>
  <sheetData>
    <row r="1" spans="1:13" ht="23.25">
      <c r="A1" s="55" t="s">
        <v>61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  <c r="M1" s="56"/>
    </row>
    <row r="2" spans="1:13" ht="52.5">
      <c r="A2" s="57" t="s">
        <v>0</v>
      </c>
      <c r="B2" s="57" t="s">
        <v>1</v>
      </c>
      <c r="C2" s="58" t="s">
        <v>2</v>
      </c>
      <c r="D2" s="57" t="s">
        <v>3</v>
      </c>
      <c r="E2" s="57" t="s">
        <v>4</v>
      </c>
      <c r="F2" s="59" t="s">
        <v>5</v>
      </c>
      <c r="G2" s="60" t="s">
        <v>6</v>
      </c>
      <c r="H2" s="60" t="s">
        <v>7</v>
      </c>
      <c r="I2" s="60" t="s">
        <v>8</v>
      </c>
      <c r="J2" s="60" t="s">
        <v>41</v>
      </c>
      <c r="K2" s="60" t="s">
        <v>10</v>
      </c>
      <c r="L2" s="60" t="s">
        <v>11</v>
      </c>
      <c r="M2" s="60" t="s">
        <v>12</v>
      </c>
    </row>
    <row r="3" spans="1:13" ht="16.5">
      <c r="A3" s="61" t="s">
        <v>13</v>
      </c>
      <c r="B3" s="61" t="s">
        <v>14</v>
      </c>
      <c r="C3" s="61"/>
      <c r="D3" s="62"/>
      <c r="E3" s="61"/>
      <c r="F3" s="62"/>
      <c r="G3" s="63"/>
      <c r="H3" s="63"/>
      <c r="I3" s="63"/>
      <c r="J3" s="63"/>
      <c r="K3" s="63"/>
      <c r="L3" s="63"/>
      <c r="M3" s="63"/>
    </row>
    <row r="4" spans="1:13" ht="16.5">
      <c r="A4" s="61" t="s">
        <v>13</v>
      </c>
      <c r="B4" s="61" t="s">
        <v>14</v>
      </c>
      <c r="C4" s="61"/>
      <c r="D4" s="62"/>
      <c r="E4" s="61"/>
      <c r="F4" s="62"/>
      <c r="G4" s="63"/>
      <c r="H4" s="63"/>
      <c r="I4" s="63"/>
      <c r="J4" s="63"/>
      <c r="K4" s="63"/>
      <c r="L4" s="63"/>
      <c r="M4" s="63"/>
    </row>
    <row r="5" spans="1:13" ht="16.5">
      <c r="A5" s="61" t="s">
        <v>13</v>
      </c>
      <c r="B5" s="61" t="s">
        <v>14</v>
      </c>
      <c r="C5" s="61"/>
      <c r="D5" s="62"/>
      <c r="E5" s="61"/>
      <c r="F5" s="62"/>
      <c r="G5" s="63"/>
      <c r="H5" s="63"/>
      <c r="I5" s="63"/>
      <c r="J5" s="63"/>
      <c r="K5" s="63"/>
      <c r="L5" s="63"/>
      <c r="M5" s="63"/>
    </row>
    <row r="6" spans="1:15" ht="16.5">
      <c r="A6" s="64" t="s">
        <v>15</v>
      </c>
      <c r="B6" s="65"/>
      <c r="C6" s="66"/>
      <c r="D6" s="67"/>
      <c r="E6" s="68"/>
      <c r="F6" s="65"/>
      <c r="G6" s="69">
        <f>SUBTOTAL(9,G3:G5)</f>
        <v>0</v>
      </c>
      <c r="H6" s="69">
        <f>SUBTOTAL(9,H3:H5)</f>
        <v>0</v>
      </c>
      <c r="I6" s="69">
        <f>SUBTOTAL(9,I3:I5)</f>
        <v>0</v>
      </c>
      <c r="J6" s="69">
        <f>SUBTOTAL(9,J3:J5)</f>
        <v>0</v>
      </c>
      <c r="K6" s="69">
        <f>SUBTOTAL(9,K3:K5)</f>
        <v>0</v>
      </c>
      <c r="L6" s="69">
        <f>SUBTOTAL(9,L3:L5)</f>
        <v>0</v>
      </c>
      <c r="M6" s="69">
        <f>SUBTOTAL(9,M3:M5)</f>
        <v>0</v>
      </c>
      <c r="O6" s="108"/>
    </row>
    <row r="7" spans="1:13" ht="16.5">
      <c r="A7" s="61" t="s">
        <v>49</v>
      </c>
      <c r="B7" s="61" t="s">
        <v>16</v>
      </c>
      <c r="C7" s="70"/>
      <c r="D7" s="62"/>
      <c r="E7" s="70"/>
      <c r="F7" s="62"/>
      <c r="G7" s="63"/>
      <c r="H7" s="63"/>
      <c r="I7" s="63"/>
      <c r="J7" s="63"/>
      <c r="K7" s="63"/>
      <c r="L7" s="63"/>
      <c r="M7" s="63"/>
    </row>
    <row r="8" spans="1:13" ht="16.5">
      <c r="A8" s="61" t="s">
        <v>49</v>
      </c>
      <c r="B8" s="61" t="s">
        <v>16</v>
      </c>
      <c r="C8" s="61"/>
      <c r="D8" s="62"/>
      <c r="E8" s="70"/>
      <c r="F8" s="62"/>
      <c r="G8" s="63"/>
      <c r="H8" s="63"/>
      <c r="I8" s="63"/>
      <c r="J8" s="63"/>
      <c r="K8" s="63"/>
      <c r="L8" s="63"/>
      <c r="M8" s="63"/>
    </row>
    <row r="9" spans="1:15" ht="16.5">
      <c r="A9" s="64" t="s">
        <v>17</v>
      </c>
      <c r="B9" s="65"/>
      <c r="C9" s="66"/>
      <c r="D9" s="67"/>
      <c r="E9" s="68"/>
      <c r="F9" s="65"/>
      <c r="G9" s="69">
        <f>SUBTOTAL(9,G7:G8)</f>
        <v>0</v>
      </c>
      <c r="H9" s="69">
        <f>SUBTOTAL(9,H7:H8)</f>
        <v>0</v>
      </c>
      <c r="I9" s="69">
        <f>SUBTOTAL(9,I7:I8)</f>
        <v>0</v>
      </c>
      <c r="J9" s="69">
        <f>SUBTOTAL(9,J7:J8)</f>
        <v>0</v>
      </c>
      <c r="K9" s="69">
        <f>SUBTOTAL(9,K7:K8)</f>
        <v>0</v>
      </c>
      <c r="L9" s="69">
        <f>SUBTOTAL(9,L7:L8)</f>
        <v>0</v>
      </c>
      <c r="M9" s="69">
        <f>SUBTOTAL(9,M7:M8)</f>
        <v>0</v>
      </c>
      <c r="O9" s="108"/>
    </row>
    <row r="10" spans="1:13" ht="16.5">
      <c r="A10" s="61" t="s">
        <v>43</v>
      </c>
      <c r="B10" s="61" t="s">
        <v>50</v>
      </c>
      <c r="C10" s="70"/>
      <c r="D10" s="62"/>
      <c r="E10" s="70"/>
      <c r="F10" s="71"/>
      <c r="G10" s="63"/>
      <c r="H10" s="63"/>
      <c r="I10" s="63"/>
      <c r="J10" s="63"/>
      <c r="K10" s="63"/>
      <c r="L10" s="63"/>
      <c r="M10" s="63"/>
    </row>
    <row r="11" spans="1:15" ht="16.5">
      <c r="A11" s="64" t="s">
        <v>44</v>
      </c>
      <c r="B11" s="65"/>
      <c r="C11" s="66"/>
      <c r="D11" s="67"/>
      <c r="E11" s="68"/>
      <c r="F11" s="65"/>
      <c r="G11" s="69">
        <f>SUBTOTAL(9,G10:G10)</f>
        <v>0</v>
      </c>
      <c r="H11" s="69">
        <f>SUBTOTAL(9,H10:H10)</f>
        <v>0</v>
      </c>
      <c r="I11" s="69">
        <f>SUBTOTAL(9,I10:I10)</f>
        <v>0</v>
      </c>
      <c r="J11" s="69">
        <f>SUBTOTAL(9,J10:J10)</f>
        <v>0</v>
      </c>
      <c r="K11" s="69">
        <f>SUBTOTAL(9,K10:K10)</f>
        <v>0</v>
      </c>
      <c r="L11" s="69">
        <f>SUBTOTAL(9,L10:L10)</f>
        <v>0</v>
      </c>
      <c r="M11" s="69">
        <f>SUBTOTAL(9,M10:M10)</f>
        <v>0</v>
      </c>
      <c r="O11" s="108"/>
    </row>
    <row r="12" spans="1:13" ht="16.5">
      <c r="A12" s="72" t="s">
        <v>39</v>
      </c>
      <c r="B12" s="73" t="s">
        <v>57</v>
      </c>
      <c r="C12" s="74"/>
      <c r="D12" s="75"/>
      <c r="E12" s="76"/>
      <c r="F12" s="73"/>
      <c r="G12" s="77">
        <v>0</v>
      </c>
      <c r="H12" s="77"/>
      <c r="I12" s="77"/>
      <c r="J12" s="77"/>
      <c r="K12" s="77"/>
      <c r="L12" s="77"/>
      <c r="M12" s="77">
        <f>SUBTOTAL(9,M11:M11)</f>
        <v>0</v>
      </c>
    </row>
    <row r="13" spans="1:13" ht="16.5">
      <c r="A13" s="61" t="s">
        <v>18</v>
      </c>
      <c r="B13" s="61" t="s">
        <v>36</v>
      </c>
      <c r="C13" s="61"/>
      <c r="D13" s="62"/>
      <c r="E13" s="70"/>
      <c r="F13" s="62"/>
      <c r="G13" s="63"/>
      <c r="H13" s="63"/>
      <c r="I13" s="63"/>
      <c r="J13" s="63"/>
      <c r="K13" s="63"/>
      <c r="L13" s="63"/>
      <c r="M13" s="63"/>
    </row>
    <row r="14" spans="1:13" ht="16.5">
      <c r="A14" s="61" t="s">
        <v>18</v>
      </c>
      <c r="B14" s="61" t="s">
        <v>36</v>
      </c>
      <c r="C14" s="61"/>
      <c r="D14" s="62"/>
      <c r="E14" s="70"/>
      <c r="F14" s="62"/>
      <c r="G14" s="63"/>
      <c r="H14" s="63"/>
      <c r="I14" s="63"/>
      <c r="J14" s="63"/>
      <c r="K14" s="63"/>
      <c r="L14" s="63"/>
      <c r="M14" s="63"/>
    </row>
    <row r="15" spans="1:13" ht="16.5">
      <c r="A15" s="61" t="s">
        <v>18</v>
      </c>
      <c r="B15" s="61" t="s">
        <v>36</v>
      </c>
      <c r="C15" s="70"/>
      <c r="D15" s="78"/>
      <c r="E15" s="70"/>
      <c r="F15" s="62"/>
      <c r="G15" s="63"/>
      <c r="H15" s="63"/>
      <c r="I15" s="63"/>
      <c r="J15" s="63"/>
      <c r="K15" s="63"/>
      <c r="L15" s="63"/>
      <c r="M15" s="63"/>
    </row>
    <row r="16" spans="1:13" ht="16.5">
      <c r="A16" s="61" t="s">
        <v>18</v>
      </c>
      <c r="B16" s="61" t="s">
        <v>36</v>
      </c>
      <c r="C16" s="61"/>
      <c r="D16" s="78"/>
      <c r="E16" s="70"/>
      <c r="F16" s="62"/>
      <c r="G16" s="63"/>
      <c r="H16" s="63"/>
      <c r="I16" s="63"/>
      <c r="J16" s="63"/>
      <c r="K16" s="63"/>
      <c r="L16" s="63"/>
      <c r="M16" s="63"/>
    </row>
    <row r="17" spans="1:13" ht="16.5">
      <c r="A17" s="62" t="s">
        <v>18</v>
      </c>
      <c r="B17" s="61" t="s">
        <v>36</v>
      </c>
      <c r="C17" s="61"/>
      <c r="D17" s="78"/>
      <c r="E17" s="70"/>
      <c r="F17" s="62"/>
      <c r="G17" s="63"/>
      <c r="H17" s="63"/>
      <c r="I17" s="63"/>
      <c r="J17" s="63"/>
      <c r="K17" s="63"/>
      <c r="L17" s="63"/>
      <c r="M17" s="63"/>
    </row>
    <row r="18" spans="1:13" ht="16.5">
      <c r="A18" s="62" t="s">
        <v>18</v>
      </c>
      <c r="B18" s="61" t="s">
        <v>36</v>
      </c>
      <c r="C18" s="61"/>
      <c r="D18" s="78"/>
      <c r="E18" s="70"/>
      <c r="F18" s="62"/>
      <c r="G18" s="63"/>
      <c r="H18" s="63"/>
      <c r="I18" s="63"/>
      <c r="J18" s="63"/>
      <c r="K18" s="63"/>
      <c r="L18" s="63"/>
      <c r="M18" s="63"/>
    </row>
    <row r="19" spans="1:13" ht="16.5">
      <c r="A19" s="62" t="s">
        <v>18</v>
      </c>
      <c r="B19" s="61" t="s">
        <v>36</v>
      </c>
      <c r="C19" s="61"/>
      <c r="D19" s="78"/>
      <c r="E19" s="70"/>
      <c r="F19" s="62"/>
      <c r="G19" s="63"/>
      <c r="H19" s="63"/>
      <c r="I19" s="63"/>
      <c r="J19" s="63"/>
      <c r="K19" s="63"/>
      <c r="L19" s="63"/>
      <c r="M19" s="63"/>
    </row>
    <row r="20" spans="1:13" ht="16.5">
      <c r="A20" s="62" t="s">
        <v>18</v>
      </c>
      <c r="B20" s="61" t="s">
        <v>36</v>
      </c>
      <c r="C20" s="61"/>
      <c r="D20" s="78"/>
      <c r="E20" s="70"/>
      <c r="F20" s="62"/>
      <c r="G20" s="63"/>
      <c r="H20" s="63"/>
      <c r="I20" s="63"/>
      <c r="J20" s="63"/>
      <c r="K20" s="63"/>
      <c r="L20" s="63"/>
      <c r="M20" s="63"/>
    </row>
    <row r="21" spans="1:15" ht="16.5">
      <c r="A21" s="64" t="s">
        <v>20</v>
      </c>
      <c r="B21" s="65"/>
      <c r="C21" s="66"/>
      <c r="D21" s="67"/>
      <c r="E21" s="68"/>
      <c r="F21" s="65"/>
      <c r="G21" s="69">
        <f>SUBTOTAL(9,G13:G20)</f>
        <v>0</v>
      </c>
      <c r="H21" s="69">
        <f>SUBTOTAL(9,H13:H20)</f>
        <v>0</v>
      </c>
      <c r="I21" s="69">
        <f>SUBTOTAL(9,I13:I20)</f>
        <v>0</v>
      </c>
      <c r="J21" s="69">
        <f>SUBTOTAL(9,J13:J20)</f>
        <v>0</v>
      </c>
      <c r="K21" s="69">
        <f>SUBTOTAL(9,K13:K20)</f>
        <v>0</v>
      </c>
      <c r="L21" s="69">
        <f>SUBTOTAL(9,L13:L20)</f>
        <v>0</v>
      </c>
      <c r="M21" s="69">
        <f>SUBTOTAL(9,M13:M20)</f>
        <v>0</v>
      </c>
      <c r="O21" s="108"/>
    </row>
    <row r="22" spans="1:13" ht="15.75" customHeight="1">
      <c r="A22" s="61" t="s">
        <v>26</v>
      </c>
      <c r="B22" s="62" t="s">
        <v>22</v>
      </c>
      <c r="C22" s="70"/>
      <c r="D22" s="78"/>
      <c r="E22" s="70"/>
      <c r="F22" s="78"/>
      <c r="G22" s="63"/>
      <c r="H22" s="63"/>
      <c r="I22" s="63"/>
      <c r="J22" s="63"/>
      <c r="K22" s="63"/>
      <c r="L22" s="63"/>
      <c r="M22" s="63"/>
    </row>
    <row r="23" spans="1:13" ht="15.75" customHeight="1">
      <c r="A23" s="61" t="s">
        <v>26</v>
      </c>
      <c r="B23" s="62" t="s">
        <v>22</v>
      </c>
      <c r="C23" s="70"/>
      <c r="D23" s="78"/>
      <c r="E23" s="70"/>
      <c r="F23" s="78"/>
      <c r="G23" s="63"/>
      <c r="H23" s="63"/>
      <c r="I23" s="63"/>
      <c r="J23" s="63"/>
      <c r="K23" s="63"/>
      <c r="L23" s="63"/>
      <c r="M23" s="63"/>
    </row>
    <row r="24" spans="1:13" ht="15.75" customHeight="1">
      <c r="A24" s="61" t="s">
        <v>26</v>
      </c>
      <c r="B24" s="62" t="s">
        <v>22</v>
      </c>
      <c r="C24" s="70"/>
      <c r="D24" s="78"/>
      <c r="E24" s="70"/>
      <c r="F24" s="78"/>
      <c r="G24" s="63"/>
      <c r="H24" s="63"/>
      <c r="I24" s="63"/>
      <c r="J24" s="63"/>
      <c r="K24" s="63"/>
      <c r="L24" s="63"/>
      <c r="M24" s="63"/>
    </row>
    <row r="25" spans="1:13" ht="16.5">
      <c r="A25" s="61" t="s">
        <v>26</v>
      </c>
      <c r="B25" s="62" t="s">
        <v>22</v>
      </c>
      <c r="C25" s="70"/>
      <c r="D25" s="78"/>
      <c r="E25" s="70"/>
      <c r="F25" s="78"/>
      <c r="G25" s="63"/>
      <c r="H25" s="63"/>
      <c r="I25" s="63"/>
      <c r="J25" s="63"/>
      <c r="K25" s="63"/>
      <c r="L25" s="63"/>
      <c r="M25" s="63"/>
    </row>
    <row r="26" spans="1:13" ht="16.5">
      <c r="A26" s="61" t="s">
        <v>26</v>
      </c>
      <c r="B26" s="62" t="s">
        <v>22</v>
      </c>
      <c r="C26" s="70"/>
      <c r="D26" s="78"/>
      <c r="E26" s="70"/>
      <c r="F26" s="78"/>
      <c r="G26" s="63"/>
      <c r="H26" s="63"/>
      <c r="I26" s="63"/>
      <c r="J26" s="63"/>
      <c r="K26" s="63"/>
      <c r="L26" s="63"/>
      <c r="M26" s="63"/>
    </row>
    <row r="27" spans="1:15" ht="16.5">
      <c r="A27" s="64" t="s">
        <v>27</v>
      </c>
      <c r="B27" s="65"/>
      <c r="C27" s="68"/>
      <c r="D27" s="67"/>
      <c r="E27" s="68"/>
      <c r="F27" s="65"/>
      <c r="G27" s="69">
        <f>SUBTOTAL(9,G22:G26)</f>
        <v>0</v>
      </c>
      <c r="H27" s="69">
        <f>SUBTOTAL(9,H22:H26)</f>
        <v>0</v>
      </c>
      <c r="I27" s="69">
        <f>SUBTOTAL(9,I22:I26)</f>
        <v>0</v>
      </c>
      <c r="J27" s="69">
        <f>SUBTOTAL(9,J22:J26)</f>
        <v>0</v>
      </c>
      <c r="K27" s="69">
        <f>SUBTOTAL(9,K22:K26)</f>
        <v>0</v>
      </c>
      <c r="L27" s="69">
        <f>SUBTOTAL(9,L22:L26)</f>
        <v>0</v>
      </c>
      <c r="M27" s="69">
        <f>SUBTOTAL(9,M22:M26)</f>
        <v>0</v>
      </c>
      <c r="O27" s="108"/>
    </row>
    <row r="28" spans="1:13" ht="16.5">
      <c r="A28" s="72" t="s">
        <v>46</v>
      </c>
      <c r="B28" s="73" t="s">
        <v>22</v>
      </c>
      <c r="C28" s="74"/>
      <c r="D28" s="75"/>
      <c r="E28" s="76"/>
      <c r="F28" s="73"/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</row>
    <row r="29" spans="1:13" ht="16.5">
      <c r="A29" s="62" t="s">
        <v>51</v>
      </c>
      <c r="B29" s="61" t="s">
        <v>22</v>
      </c>
      <c r="C29" s="70"/>
      <c r="D29" s="78"/>
      <c r="E29" s="61"/>
      <c r="F29" s="78"/>
      <c r="G29" s="63"/>
      <c r="H29" s="63"/>
      <c r="I29" s="63"/>
      <c r="J29" s="63"/>
      <c r="K29" s="63"/>
      <c r="L29" s="63"/>
      <c r="M29" s="63"/>
    </row>
    <row r="30" spans="1:13" ht="16.5">
      <c r="A30" s="62" t="s">
        <v>51</v>
      </c>
      <c r="B30" s="61" t="s">
        <v>22</v>
      </c>
      <c r="C30" s="70"/>
      <c r="D30" s="78"/>
      <c r="E30" s="61"/>
      <c r="F30" s="78"/>
      <c r="G30" s="63"/>
      <c r="H30" s="63"/>
      <c r="I30" s="63"/>
      <c r="J30" s="63"/>
      <c r="K30" s="63"/>
      <c r="L30" s="63"/>
      <c r="M30" s="63"/>
    </row>
    <row r="31" spans="1:13" ht="16.5">
      <c r="A31" s="62" t="s">
        <v>51</v>
      </c>
      <c r="B31" s="61" t="s">
        <v>22</v>
      </c>
      <c r="C31" s="70"/>
      <c r="D31" s="78"/>
      <c r="E31" s="61"/>
      <c r="F31" s="78"/>
      <c r="G31" s="63"/>
      <c r="H31" s="63"/>
      <c r="I31" s="63"/>
      <c r="J31" s="63"/>
      <c r="K31" s="63"/>
      <c r="L31" s="63"/>
      <c r="M31" s="63"/>
    </row>
    <row r="32" spans="1:13" ht="16.5">
      <c r="A32" s="62" t="s">
        <v>51</v>
      </c>
      <c r="B32" s="61" t="s">
        <v>22</v>
      </c>
      <c r="C32" s="70"/>
      <c r="D32" s="78"/>
      <c r="E32" s="61"/>
      <c r="F32" s="78"/>
      <c r="G32" s="63"/>
      <c r="H32" s="63"/>
      <c r="I32" s="63"/>
      <c r="J32" s="63"/>
      <c r="K32" s="63"/>
      <c r="L32" s="63"/>
      <c r="M32" s="63"/>
    </row>
    <row r="33" spans="1:15" ht="16.5">
      <c r="A33" s="64" t="s">
        <v>52</v>
      </c>
      <c r="B33" s="65"/>
      <c r="C33" s="68"/>
      <c r="D33" s="67"/>
      <c r="E33" s="68"/>
      <c r="F33" s="65"/>
      <c r="G33" s="69">
        <f>SUBTOTAL(9,G28:G32)</f>
        <v>0</v>
      </c>
      <c r="H33" s="69">
        <f aca="true" t="shared" si="0" ref="H33:M33">SUBTOTAL(9,H29:H32)</f>
        <v>0</v>
      </c>
      <c r="I33" s="69">
        <f t="shared" si="0"/>
        <v>0</v>
      </c>
      <c r="J33" s="69">
        <f t="shared" si="0"/>
        <v>0</v>
      </c>
      <c r="K33" s="69">
        <f t="shared" si="0"/>
        <v>0</v>
      </c>
      <c r="L33" s="69">
        <f t="shared" si="0"/>
        <v>0</v>
      </c>
      <c r="M33" s="69">
        <f t="shared" si="0"/>
        <v>0</v>
      </c>
      <c r="O33" s="108"/>
    </row>
    <row r="34" spans="1:13" ht="16.5">
      <c r="A34" s="62" t="s">
        <v>21</v>
      </c>
      <c r="B34" s="61" t="s">
        <v>22</v>
      </c>
      <c r="C34" s="70"/>
      <c r="D34" s="78"/>
      <c r="E34" s="61"/>
      <c r="F34" s="71"/>
      <c r="G34" s="63"/>
      <c r="H34" s="63"/>
      <c r="I34" s="63"/>
      <c r="J34" s="63"/>
      <c r="K34" s="63"/>
      <c r="L34" s="63"/>
      <c r="M34" s="63"/>
    </row>
    <row r="35" spans="1:13" ht="16.5">
      <c r="A35" s="62" t="s">
        <v>21</v>
      </c>
      <c r="B35" s="61" t="s">
        <v>22</v>
      </c>
      <c r="C35" s="70"/>
      <c r="D35" s="78"/>
      <c r="E35" s="61"/>
      <c r="F35" s="71"/>
      <c r="G35" s="63"/>
      <c r="H35" s="63"/>
      <c r="I35" s="63"/>
      <c r="J35" s="63"/>
      <c r="K35" s="63"/>
      <c r="L35" s="63"/>
      <c r="M35" s="63"/>
    </row>
    <row r="36" spans="1:13" ht="16.5">
      <c r="A36" s="62" t="s">
        <v>21</v>
      </c>
      <c r="B36" s="61" t="s">
        <v>22</v>
      </c>
      <c r="C36" s="70"/>
      <c r="D36" s="78"/>
      <c r="E36" s="61"/>
      <c r="F36" s="71"/>
      <c r="G36" s="63"/>
      <c r="H36" s="63"/>
      <c r="I36" s="63"/>
      <c r="J36" s="63"/>
      <c r="K36" s="63"/>
      <c r="L36" s="63"/>
      <c r="M36" s="63"/>
    </row>
    <row r="37" spans="1:13" ht="16.5">
      <c r="A37" s="62" t="s">
        <v>21</v>
      </c>
      <c r="B37" s="61" t="s">
        <v>22</v>
      </c>
      <c r="C37" s="70"/>
      <c r="D37" s="78"/>
      <c r="E37" s="61"/>
      <c r="F37" s="71"/>
      <c r="G37" s="63"/>
      <c r="H37" s="63"/>
      <c r="I37" s="63"/>
      <c r="J37" s="63"/>
      <c r="K37" s="63"/>
      <c r="L37" s="63"/>
      <c r="M37" s="63"/>
    </row>
    <row r="38" spans="1:13" ht="16.5">
      <c r="A38" s="62" t="s">
        <v>21</v>
      </c>
      <c r="B38" s="61" t="s">
        <v>22</v>
      </c>
      <c r="C38" s="70"/>
      <c r="D38" s="78"/>
      <c r="E38" s="61"/>
      <c r="F38" s="71"/>
      <c r="G38" s="63"/>
      <c r="H38" s="63"/>
      <c r="I38" s="63"/>
      <c r="J38" s="63"/>
      <c r="K38" s="63"/>
      <c r="L38" s="63"/>
      <c r="M38" s="63"/>
    </row>
    <row r="39" spans="1:15" ht="16.5">
      <c r="A39" s="64" t="s">
        <v>38</v>
      </c>
      <c r="B39" s="65"/>
      <c r="C39" s="68"/>
      <c r="D39" s="67"/>
      <c r="E39" s="68"/>
      <c r="F39" s="65"/>
      <c r="G39" s="69">
        <f>SUBTOTAL(9,G34:G38)</f>
        <v>0</v>
      </c>
      <c r="H39" s="69">
        <f>SUBTOTAL(9,H34:H38)</f>
        <v>0</v>
      </c>
      <c r="I39" s="69">
        <f>SUBTOTAL(9,I34:I38)</f>
        <v>0</v>
      </c>
      <c r="J39" s="69">
        <f>SUBTOTAL(9,J34:J38)</f>
        <v>0</v>
      </c>
      <c r="K39" s="69">
        <f>SUBTOTAL(9,K34:K38)</f>
        <v>0</v>
      </c>
      <c r="L39" s="69">
        <f>SUBTOTAL(9,L34:L38)</f>
        <v>0</v>
      </c>
      <c r="M39" s="69">
        <f>SUBTOTAL(9,M34:M38)</f>
        <v>0</v>
      </c>
      <c r="O39" s="108"/>
    </row>
    <row r="40" spans="1:13" ht="16.5">
      <c r="A40" s="61" t="s">
        <v>53</v>
      </c>
      <c r="B40" s="61" t="s">
        <v>22</v>
      </c>
      <c r="C40" s="70"/>
      <c r="D40" s="78"/>
      <c r="E40" s="61"/>
      <c r="F40" s="71"/>
      <c r="G40" s="63"/>
      <c r="H40" s="63"/>
      <c r="I40" s="63"/>
      <c r="J40" s="63"/>
      <c r="K40" s="63"/>
      <c r="L40" s="63"/>
      <c r="M40" s="63"/>
    </row>
    <row r="41" spans="1:13" ht="16.5">
      <c r="A41" s="62" t="s">
        <v>53</v>
      </c>
      <c r="B41" s="61" t="s">
        <v>22</v>
      </c>
      <c r="C41" s="70"/>
      <c r="D41" s="78"/>
      <c r="E41" s="61"/>
      <c r="F41" s="71"/>
      <c r="G41" s="63"/>
      <c r="H41" s="63"/>
      <c r="I41" s="63"/>
      <c r="J41" s="63"/>
      <c r="K41" s="63"/>
      <c r="L41" s="63"/>
      <c r="M41" s="63"/>
    </row>
    <row r="42" spans="1:13" ht="16.5">
      <c r="A42" s="62" t="s">
        <v>53</v>
      </c>
      <c r="B42" s="61" t="s">
        <v>22</v>
      </c>
      <c r="C42" s="70"/>
      <c r="D42" s="78"/>
      <c r="E42" s="61"/>
      <c r="F42" s="71"/>
      <c r="G42" s="63"/>
      <c r="H42" s="63"/>
      <c r="I42" s="63"/>
      <c r="J42" s="63"/>
      <c r="K42" s="63"/>
      <c r="L42" s="63"/>
      <c r="M42" s="63"/>
    </row>
    <row r="43" spans="1:13" ht="16.5">
      <c r="A43" s="62" t="s">
        <v>53</v>
      </c>
      <c r="B43" s="61" t="s">
        <v>22</v>
      </c>
      <c r="C43" s="70"/>
      <c r="D43" s="78"/>
      <c r="E43" s="61"/>
      <c r="F43" s="71"/>
      <c r="G43" s="63"/>
      <c r="H43" s="63"/>
      <c r="I43" s="63"/>
      <c r="J43" s="63"/>
      <c r="K43" s="63"/>
      <c r="L43" s="63"/>
      <c r="M43" s="63"/>
    </row>
    <row r="44" spans="1:13" ht="16.5">
      <c r="A44" s="62" t="s">
        <v>53</v>
      </c>
      <c r="B44" s="61" t="s">
        <v>22</v>
      </c>
      <c r="C44" s="70"/>
      <c r="D44" s="78"/>
      <c r="E44" s="61"/>
      <c r="F44" s="71"/>
      <c r="G44" s="63"/>
      <c r="H44" s="63"/>
      <c r="I44" s="63"/>
      <c r="J44" s="63"/>
      <c r="K44" s="63"/>
      <c r="L44" s="63"/>
      <c r="M44" s="63"/>
    </row>
    <row r="45" spans="1:13" ht="16.5">
      <c r="A45" s="62" t="s">
        <v>53</v>
      </c>
      <c r="B45" s="61" t="s">
        <v>22</v>
      </c>
      <c r="C45" s="70"/>
      <c r="D45" s="78"/>
      <c r="E45" s="61"/>
      <c r="F45" s="71"/>
      <c r="G45" s="63"/>
      <c r="H45" s="63"/>
      <c r="I45" s="63"/>
      <c r="J45" s="63"/>
      <c r="K45" s="63"/>
      <c r="L45" s="63"/>
      <c r="M45" s="63"/>
    </row>
    <row r="46" spans="1:13" ht="16.5">
      <c r="A46" s="62" t="s">
        <v>53</v>
      </c>
      <c r="B46" s="61" t="s">
        <v>22</v>
      </c>
      <c r="C46" s="70"/>
      <c r="D46" s="78"/>
      <c r="E46" s="61"/>
      <c r="F46" s="71"/>
      <c r="G46" s="63"/>
      <c r="H46" s="63"/>
      <c r="I46" s="63"/>
      <c r="J46" s="63"/>
      <c r="K46" s="63"/>
      <c r="L46" s="63"/>
      <c r="M46" s="63"/>
    </row>
    <row r="47" spans="1:15" ht="16.5">
      <c r="A47" s="64" t="s">
        <v>54</v>
      </c>
      <c r="B47" s="65"/>
      <c r="C47" s="68"/>
      <c r="D47" s="67"/>
      <c r="E47" s="68"/>
      <c r="F47" s="65"/>
      <c r="G47" s="69">
        <f>SUBTOTAL(9,G40:G46)</f>
        <v>0</v>
      </c>
      <c r="H47" s="69">
        <f>SUBTOTAL(9,H40:H46)</f>
        <v>0</v>
      </c>
      <c r="I47" s="69">
        <f>SUBTOTAL(9,I40:I46)</f>
        <v>0</v>
      </c>
      <c r="J47" s="69">
        <f>SUBTOTAL(9,J40:J46)</f>
        <v>0</v>
      </c>
      <c r="K47" s="69">
        <f>SUBTOTAL(9,K40:K46)</f>
        <v>0</v>
      </c>
      <c r="L47" s="69">
        <f>SUBTOTAL(9,L40:L46)</f>
        <v>0</v>
      </c>
      <c r="M47" s="69">
        <f>SUBTOTAL(9,M40:M46)</f>
        <v>0</v>
      </c>
      <c r="O47" s="108"/>
    </row>
    <row r="48" spans="1:17" ht="16.5">
      <c r="A48" s="62" t="s">
        <v>19</v>
      </c>
      <c r="B48" s="62" t="s">
        <v>22</v>
      </c>
      <c r="C48" s="79"/>
      <c r="D48" s="78"/>
      <c r="E48" s="70"/>
      <c r="F48" s="71"/>
      <c r="G48" s="63"/>
      <c r="H48" s="63"/>
      <c r="I48" s="63"/>
      <c r="J48" s="63"/>
      <c r="K48" s="63"/>
      <c r="L48" s="63"/>
      <c r="M48" s="63"/>
      <c r="Q48" s="80"/>
    </row>
    <row r="49" spans="1:17" ht="16.5">
      <c r="A49" s="62" t="s">
        <v>19</v>
      </c>
      <c r="B49" s="62" t="s">
        <v>22</v>
      </c>
      <c r="C49" s="70"/>
      <c r="D49" s="78"/>
      <c r="E49" s="70"/>
      <c r="F49" s="71"/>
      <c r="G49" s="63"/>
      <c r="H49" s="63"/>
      <c r="I49" s="63"/>
      <c r="J49" s="63"/>
      <c r="K49" s="63"/>
      <c r="L49" s="63"/>
      <c r="M49" s="63"/>
      <c r="Q49" s="80"/>
    </row>
    <row r="50" spans="1:17" ht="16.5">
      <c r="A50" s="62" t="s">
        <v>19</v>
      </c>
      <c r="B50" s="62" t="s">
        <v>22</v>
      </c>
      <c r="C50" s="79"/>
      <c r="D50" s="79"/>
      <c r="E50" s="70"/>
      <c r="F50" s="71"/>
      <c r="G50" s="63"/>
      <c r="H50" s="63"/>
      <c r="I50" s="63"/>
      <c r="J50" s="63"/>
      <c r="K50" s="63"/>
      <c r="L50" s="63"/>
      <c r="M50" s="63"/>
      <c r="Q50" s="80"/>
    </row>
    <row r="51" spans="1:17" ht="16.5">
      <c r="A51" s="62" t="s">
        <v>19</v>
      </c>
      <c r="B51" s="62" t="s">
        <v>22</v>
      </c>
      <c r="C51" s="79"/>
      <c r="D51" s="79"/>
      <c r="E51" s="70"/>
      <c r="F51" s="71"/>
      <c r="G51" s="63"/>
      <c r="H51" s="63"/>
      <c r="I51" s="63"/>
      <c r="J51" s="63"/>
      <c r="K51" s="63"/>
      <c r="L51" s="63"/>
      <c r="M51" s="63"/>
      <c r="Q51" s="80"/>
    </row>
    <row r="52" spans="1:17" ht="16.5">
      <c r="A52" s="62" t="s">
        <v>19</v>
      </c>
      <c r="B52" s="62" t="s">
        <v>22</v>
      </c>
      <c r="C52" s="79"/>
      <c r="D52" s="79"/>
      <c r="E52" s="70"/>
      <c r="F52" s="71"/>
      <c r="G52" s="63"/>
      <c r="H52" s="63"/>
      <c r="I52" s="63"/>
      <c r="J52" s="63"/>
      <c r="K52" s="63"/>
      <c r="L52" s="63"/>
      <c r="M52" s="63"/>
      <c r="Q52" s="80"/>
    </row>
    <row r="53" spans="1:17" ht="16.5">
      <c r="A53" s="62" t="s">
        <v>19</v>
      </c>
      <c r="B53" s="62" t="s">
        <v>22</v>
      </c>
      <c r="C53" s="79"/>
      <c r="D53" s="79"/>
      <c r="E53" s="70"/>
      <c r="F53" s="71"/>
      <c r="G53" s="63"/>
      <c r="H53" s="63"/>
      <c r="I53" s="63"/>
      <c r="J53" s="63"/>
      <c r="K53" s="63"/>
      <c r="L53" s="63"/>
      <c r="M53" s="63"/>
      <c r="Q53" s="80"/>
    </row>
    <row r="54" spans="1:17" ht="16.5">
      <c r="A54" s="64" t="s">
        <v>23</v>
      </c>
      <c r="B54" s="65"/>
      <c r="C54" s="66"/>
      <c r="D54" s="67"/>
      <c r="E54" s="68"/>
      <c r="F54" s="65"/>
      <c r="G54" s="69">
        <f>SUBTOTAL(9,G48:G53)</f>
        <v>0</v>
      </c>
      <c r="H54" s="69">
        <f>SUBTOTAL(9,H48:H53)</f>
        <v>0</v>
      </c>
      <c r="I54" s="69">
        <f>SUBTOTAL(9,I48:I53)</f>
        <v>0</v>
      </c>
      <c r="J54" s="69">
        <f>SUBTOTAL(9,J48:J53)</f>
        <v>0</v>
      </c>
      <c r="K54" s="69">
        <f>SUBTOTAL(9,K48:K53)</f>
        <v>0</v>
      </c>
      <c r="L54" s="69">
        <f>SUBTOTAL(9,L48:L53)</f>
        <v>0</v>
      </c>
      <c r="M54" s="69">
        <f>SUBTOTAL(9,M48:M53)</f>
        <v>0</v>
      </c>
      <c r="O54" s="108"/>
      <c r="Q54" s="80"/>
    </row>
    <row r="55" spans="1:13" ht="16.5">
      <c r="A55" s="72" t="s">
        <v>56</v>
      </c>
      <c r="B55" s="73"/>
      <c r="C55" s="74"/>
      <c r="D55" s="75"/>
      <c r="E55" s="81"/>
      <c r="F55" s="73"/>
      <c r="G55" s="77">
        <v>0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</row>
    <row r="56" spans="1:13" ht="16.5">
      <c r="A56" s="62" t="s">
        <v>42</v>
      </c>
      <c r="B56" s="62" t="s">
        <v>22</v>
      </c>
      <c r="C56" s="79"/>
      <c r="D56" s="78"/>
      <c r="E56" s="70"/>
      <c r="F56" s="63"/>
      <c r="G56" s="63"/>
      <c r="H56" s="63"/>
      <c r="I56" s="63"/>
      <c r="J56" s="63"/>
      <c r="K56" s="63"/>
      <c r="L56" s="63"/>
      <c r="M56" s="63"/>
    </row>
    <row r="57" spans="1:13" ht="16.5">
      <c r="A57" s="62" t="s">
        <v>42</v>
      </c>
      <c r="B57" s="62" t="s">
        <v>22</v>
      </c>
      <c r="C57" s="79"/>
      <c r="D57" s="78"/>
      <c r="E57" s="70"/>
      <c r="F57" s="63"/>
      <c r="G57" s="63"/>
      <c r="H57" s="63"/>
      <c r="I57" s="63"/>
      <c r="J57" s="63"/>
      <c r="K57" s="63"/>
      <c r="L57" s="63"/>
      <c r="M57" s="63"/>
    </row>
    <row r="58" spans="1:15" ht="16.5">
      <c r="A58" s="64" t="s">
        <v>24</v>
      </c>
      <c r="B58" s="65"/>
      <c r="C58" s="66"/>
      <c r="D58" s="67"/>
      <c r="E58" s="68"/>
      <c r="F58" s="65"/>
      <c r="G58" s="69">
        <f>SUBTOTAL(9,G56:G57)</f>
        <v>0</v>
      </c>
      <c r="H58" s="69">
        <f>SUBTOTAL(9,H56:H57)</f>
        <v>0</v>
      </c>
      <c r="I58" s="69">
        <f>SUBTOTAL(9,I56:I57)</f>
        <v>0</v>
      </c>
      <c r="J58" s="69">
        <f>SUBTOTAL(9,J56:J57)</f>
        <v>0</v>
      </c>
      <c r="K58" s="69">
        <f>SUBTOTAL(9,K56:K57)</f>
        <v>0</v>
      </c>
      <c r="L58" s="69">
        <f>SUBTOTAL(9,L56:L57)</f>
        <v>0</v>
      </c>
      <c r="M58" s="69">
        <f>SUBTOTAL(9,M56:M57)</f>
        <v>0</v>
      </c>
      <c r="O58" s="108"/>
    </row>
    <row r="59" spans="1:13" ht="16.5">
      <c r="A59" s="62" t="s">
        <v>58</v>
      </c>
      <c r="B59" s="62" t="s">
        <v>22</v>
      </c>
      <c r="C59" s="70"/>
      <c r="D59" s="78"/>
      <c r="E59" s="70"/>
      <c r="F59" s="63"/>
      <c r="G59" s="63"/>
      <c r="H59" s="63"/>
      <c r="I59" s="63"/>
      <c r="J59" s="63"/>
      <c r="K59" s="63"/>
      <c r="L59" s="63"/>
      <c r="M59" s="63"/>
    </row>
    <row r="60" spans="1:13" ht="16.5">
      <c r="A60" s="62" t="s">
        <v>58</v>
      </c>
      <c r="B60" s="62" t="s">
        <v>22</v>
      </c>
      <c r="C60" s="70"/>
      <c r="D60" s="78"/>
      <c r="E60" s="70"/>
      <c r="F60" s="63"/>
      <c r="G60" s="63"/>
      <c r="H60" s="63"/>
      <c r="I60" s="63"/>
      <c r="J60" s="63"/>
      <c r="K60" s="63"/>
      <c r="L60" s="63"/>
      <c r="M60" s="63"/>
    </row>
    <row r="61" spans="1:13" ht="16.5">
      <c r="A61" s="62" t="s">
        <v>58</v>
      </c>
      <c r="B61" s="62" t="s">
        <v>22</v>
      </c>
      <c r="C61" s="79"/>
      <c r="D61" s="78"/>
      <c r="E61" s="70"/>
      <c r="F61" s="63"/>
      <c r="G61" s="63"/>
      <c r="H61" s="63"/>
      <c r="I61" s="63"/>
      <c r="J61" s="63"/>
      <c r="K61" s="63"/>
      <c r="L61" s="63"/>
      <c r="M61" s="63"/>
    </row>
    <row r="62" spans="1:15" ht="16.5">
      <c r="A62" s="64" t="s">
        <v>58</v>
      </c>
      <c r="B62" s="65"/>
      <c r="C62" s="66"/>
      <c r="D62" s="67"/>
      <c r="E62" s="68"/>
      <c r="F62" s="65"/>
      <c r="G62" s="69">
        <f>SUBTOTAL(9,G59:G61)</f>
        <v>0</v>
      </c>
      <c r="H62" s="69">
        <f>SUBTOTAL(9,H59:H61)</f>
        <v>0</v>
      </c>
      <c r="I62" s="69">
        <f>SUBTOTAL(9,I59:I61)</f>
        <v>0</v>
      </c>
      <c r="J62" s="69">
        <f>SUBTOTAL(9,J59:J61)</f>
        <v>0</v>
      </c>
      <c r="K62" s="69">
        <f>SUBTOTAL(9,K59:K61)</f>
        <v>0</v>
      </c>
      <c r="L62" s="69">
        <f>SUBTOTAL(9,L59:L61)</f>
        <v>0</v>
      </c>
      <c r="M62" s="69">
        <f>SUBTOTAL(9,M59:M61)</f>
        <v>0</v>
      </c>
      <c r="O62" s="108"/>
    </row>
    <row r="63" spans="1:13" ht="16.5">
      <c r="A63" s="62" t="s">
        <v>25</v>
      </c>
      <c r="B63" s="62" t="s">
        <v>22</v>
      </c>
      <c r="C63" s="79"/>
      <c r="D63" s="78"/>
      <c r="E63" s="70"/>
      <c r="F63" s="63"/>
      <c r="G63" s="63"/>
      <c r="H63" s="63"/>
      <c r="I63" s="63"/>
      <c r="J63" s="63"/>
      <c r="K63" s="63"/>
      <c r="L63" s="63"/>
      <c r="M63" s="63"/>
    </row>
    <row r="64" spans="1:15" ht="16.5">
      <c r="A64" s="64" t="s">
        <v>40</v>
      </c>
      <c r="B64" s="65" t="s">
        <v>22</v>
      </c>
      <c r="C64" s="66"/>
      <c r="D64" s="67"/>
      <c r="E64" s="68"/>
      <c r="F64" s="65"/>
      <c r="G64" s="69">
        <f>SUBTOTAL(9,G63:G63)</f>
        <v>0</v>
      </c>
      <c r="H64" s="69">
        <f aca="true" t="shared" si="1" ref="H64:M64">SUBTOTAL(9,H63:H63)</f>
        <v>0</v>
      </c>
      <c r="I64" s="69">
        <f t="shared" si="1"/>
        <v>0</v>
      </c>
      <c r="J64" s="69">
        <f t="shared" si="1"/>
        <v>0</v>
      </c>
      <c r="K64" s="69">
        <f t="shared" si="1"/>
        <v>0</v>
      </c>
      <c r="L64" s="69">
        <f t="shared" si="1"/>
        <v>0</v>
      </c>
      <c r="M64" s="69">
        <f t="shared" si="1"/>
        <v>0</v>
      </c>
      <c r="O64" s="108"/>
    </row>
    <row r="65" spans="1:13" ht="16.5">
      <c r="A65" s="72" t="s">
        <v>48</v>
      </c>
      <c r="B65" s="73" t="s">
        <v>22</v>
      </c>
      <c r="C65" s="74"/>
      <c r="D65" s="75"/>
      <c r="E65" s="81"/>
      <c r="F65" s="73"/>
      <c r="G65" s="77">
        <v>0</v>
      </c>
      <c r="H65" s="77">
        <v>0</v>
      </c>
      <c r="I65" s="77">
        <v>0</v>
      </c>
      <c r="J65" s="77">
        <v>0</v>
      </c>
      <c r="K65" s="77">
        <v>0</v>
      </c>
      <c r="L65" s="77">
        <v>0</v>
      </c>
      <c r="M65" s="77">
        <v>0</v>
      </c>
    </row>
    <row r="66" spans="1:13" ht="16.5">
      <c r="A66" s="62" t="s">
        <v>59</v>
      </c>
      <c r="B66" s="62" t="s">
        <v>22</v>
      </c>
      <c r="C66" s="79"/>
      <c r="D66" s="78"/>
      <c r="E66" s="70"/>
      <c r="F66" s="63"/>
      <c r="G66" s="63"/>
      <c r="H66" s="63"/>
      <c r="I66" s="63"/>
      <c r="J66" s="63"/>
      <c r="K66" s="63"/>
      <c r="L66" s="63"/>
      <c r="M66" s="63"/>
    </row>
    <row r="67" spans="1:13" ht="16.5">
      <c r="A67" s="62" t="s">
        <v>59</v>
      </c>
      <c r="B67" s="62" t="s">
        <v>22</v>
      </c>
      <c r="C67" s="79"/>
      <c r="D67" s="78"/>
      <c r="E67" s="70"/>
      <c r="F67" s="63"/>
      <c r="G67" s="63"/>
      <c r="H67" s="63"/>
      <c r="I67" s="63"/>
      <c r="J67" s="63"/>
      <c r="K67" s="63"/>
      <c r="L67" s="63"/>
      <c r="M67" s="63"/>
    </row>
    <row r="68" spans="1:13" ht="16.5">
      <c r="A68" s="62" t="s">
        <v>59</v>
      </c>
      <c r="B68" s="62" t="s">
        <v>22</v>
      </c>
      <c r="C68" s="79"/>
      <c r="D68" s="78"/>
      <c r="E68" s="70"/>
      <c r="F68" s="63"/>
      <c r="G68" s="63"/>
      <c r="H68" s="63"/>
      <c r="I68" s="63"/>
      <c r="J68" s="63"/>
      <c r="K68" s="63"/>
      <c r="L68" s="63"/>
      <c r="M68" s="63"/>
    </row>
    <row r="69" spans="1:15" ht="16.5">
      <c r="A69" s="64" t="s">
        <v>59</v>
      </c>
      <c r="B69" s="65" t="s">
        <v>22</v>
      </c>
      <c r="C69" s="66"/>
      <c r="D69" s="67"/>
      <c r="E69" s="68"/>
      <c r="F69" s="65"/>
      <c r="G69" s="69">
        <f>SUBTOTAL(9,G66:G68)</f>
        <v>0</v>
      </c>
      <c r="H69" s="69">
        <f>SUBTOTAL(9,H66:H68)</f>
        <v>0</v>
      </c>
      <c r="I69" s="69">
        <f>SUBTOTAL(9,I66:I68)</f>
        <v>0</v>
      </c>
      <c r="J69" s="69">
        <f>SUBTOTAL(9,J66:J68)</f>
        <v>0</v>
      </c>
      <c r="K69" s="69">
        <f>SUBTOTAL(9,K66:K68)</f>
        <v>0</v>
      </c>
      <c r="L69" s="69">
        <f>SUBTOTAL(9,L66:L68)</f>
        <v>0</v>
      </c>
      <c r="M69" s="69">
        <f>SUBTOTAL(9,M66:M68)</f>
        <v>0</v>
      </c>
      <c r="O69" s="108"/>
    </row>
    <row r="70" spans="1:15" ht="17.25" thickBot="1">
      <c r="A70" s="82"/>
      <c r="B70" s="82"/>
      <c r="C70" s="83"/>
      <c r="D70" s="82"/>
      <c r="E70" s="82"/>
      <c r="F70" s="84"/>
      <c r="G70" s="85">
        <f aca="true" t="shared" si="2" ref="G70:M70">SUBTOTAL(9,G3:G69)</f>
        <v>0</v>
      </c>
      <c r="H70" s="85">
        <f t="shared" si="2"/>
        <v>0</v>
      </c>
      <c r="I70" s="85">
        <f t="shared" si="2"/>
        <v>0</v>
      </c>
      <c r="J70" s="85">
        <f t="shared" si="2"/>
        <v>0</v>
      </c>
      <c r="K70" s="85">
        <f t="shared" si="2"/>
        <v>0</v>
      </c>
      <c r="L70" s="85">
        <f t="shared" si="2"/>
        <v>0</v>
      </c>
      <c r="M70" s="85">
        <f t="shared" si="2"/>
        <v>0</v>
      </c>
      <c r="N70" s="108"/>
      <c r="O70" s="108"/>
    </row>
    <row r="71" spans="1:18" ht="17.25" thickTop="1">
      <c r="A71" s="86"/>
      <c r="B71" s="86"/>
      <c r="C71" s="87"/>
      <c r="D71" s="86"/>
      <c r="E71" s="86"/>
      <c r="F71" s="86"/>
      <c r="G71" s="88"/>
      <c r="H71" s="88"/>
      <c r="I71" s="88"/>
      <c r="J71" s="88"/>
      <c r="K71" s="88"/>
      <c r="L71" s="88"/>
      <c r="M71" s="88"/>
      <c r="R71" s="89"/>
    </row>
    <row r="72" spans="5:6" ht="16.5">
      <c r="E72" s="90"/>
      <c r="F72" s="90"/>
    </row>
    <row r="73" spans="1:13" ht="17.25" thickBot="1">
      <c r="A73" s="86"/>
      <c r="B73" s="86"/>
      <c r="C73" s="87"/>
      <c r="D73" s="86"/>
      <c r="E73" s="86"/>
      <c r="F73" s="86"/>
      <c r="G73" s="88"/>
      <c r="H73" s="88"/>
      <c r="I73" s="88"/>
      <c r="J73" s="88"/>
      <c r="K73" s="88"/>
      <c r="L73" s="88"/>
      <c r="M73" s="88"/>
    </row>
    <row r="74" spans="1:13" ht="17.25" thickBot="1">
      <c r="A74" s="86"/>
      <c r="B74" s="86"/>
      <c r="C74" s="86"/>
      <c r="D74" s="86"/>
      <c r="E74" s="86"/>
      <c r="F74" s="91" t="s">
        <v>28</v>
      </c>
      <c r="G74" s="92"/>
      <c r="H74" s="92"/>
      <c r="I74" s="92"/>
      <c r="J74" s="92"/>
      <c r="K74" s="92"/>
      <c r="L74" s="92"/>
      <c r="M74" s="93"/>
    </row>
    <row r="75" spans="1:13" ht="52.5">
      <c r="A75" s="86"/>
      <c r="B75" s="86"/>
      <c r="C75" s="86"/>
      <c r="D75" s="86"/>
      <c r="E75" s="86"/>
      <c r="F75" s="94"/>
      <c r="G75" s="95" t="s">
        <v>6</v>
      </c>
      <c r="H75" s="96" t="s">
        <v>29</v>
      </c>
      <c r="I75" s="96" t="s">
        <v>8</v>
      </c>
      <c r="J75" s="96" t="s">
        <v>9</v>
      </c>
      <c r="K75" s="96" t="s">
        <v>10</v>
      </c>
      <c r="L75" s="96" t="s">
        <v>11</v>
      </c>
      <c r="M75" s="97" t="s">
        <v>30</v>
      </c>
    </row>
    <row r="76" spans="1:13" ht="16.5">
      <c r="A76" s="86"/>
      <c r="B76" s="86"/>
      <c r="C76" s="98"/>
      <c r="D76" s="86"/>
      <c r="E76" s="86"/>
      <c r="F76" s="99" t="s">
        <v>31</v>
      </c>
      <c r="G76" s="100">
        <f>G70-G77</f>
        <v>0</v>
      </c>
      <c r="H76" s="100">
        <f aca="true" t="shared" si="3" ref="H76:M76">H70-H77</f>
        <v>0</v>
      </c>
      <c r="I76" s="100">
        <f t="shared" si="3"/>
        <v>0</v>
      </c>
      <c r="J76" s="100">
        <f t="shared" si="3"/>
        <v>0</v>
      </c>
      <c r="K76" s="100">
        <f t="shared" si="3"/>
        <v>0</v>
      </c>
      <c r="L76" s="100">
        <f t="shared" si="3"/>
        <v>0</v>
      </c>
      <c r="M76" s="100">
        <f t="shared" si="3"/>
        <v>0</v>
      </c>
    </row>
    <row r="77" spans="1:13" ht="16.5">
      <c r="A77" s="86"/>
      <c r="B77" s="86"/>
      <c r="C77" s="98"/>
      <c r="D77" s="86"/>
      <c r="E77" s="86"/>
      <c r="F77" s="99" t="s">
        <v>32</v>
      </c>
      <c r="G77" s="100">
        <f aca="true" t="shared" si="4" ref="G77:L77">G6</f>
        <v>0</v>
      </c>
      <c r="H77" s="100">
        <f t="shared" si="4"/>
        <v>0</v>
      </c>
      <c r="I77" s="100">
        <f t="shared" si="4"/>
        <v>0</v>
      </c>
      <c r="J77" s="100">
        <f t="shared" si="4"/>
        <v>0</v>
      </c>
      <c r="K77" s="100">
        <f t="shared" si="4"/>
        <v>0</v>
      </c>
      <c r="L77" s="100">
        <f t="shared" si="4"/>
        <v>0</v>
      </c>
      <c r="M77" s="100">
        <f>SUM(G77:L77)</f>
        <v>0</v>
      </c>
    </row>
    <row r="78" spans="1:13" ht="16.5">
      <c r="A78" s="86"/>
      <c r="B78" s="86"/>
      <c r="C78" s="98"/>
      <c r="D78" s="86"/>
      <c r="E78" s="86"/>
      <c r="F78" s="101" t="s">
        <v>33</v>
      </c>
      <c r="G78" s="102">
        <f aca="true" t="shared" si="5" ref="G78:L78">SUM(G76:G77)</f>
        <v>0</v>
      </c>
      <c r="H78" s="102">
        <f t="shared" si="5"/>
        <v>0</v>
      </c>
      <c r="I78" s="102">
        <f t="shared" si="5"/>
        <v>0</v>
      </c>
      <c r="J78" s="102">
        <f t="shared" si="5"/>
        <v>0</v>
      </c>
      <c r="K78" s="102">
        <f t="shared" si="5"/>
        <v>0</v>
      </c>
      <c r="L78" s="102">
        <f t="shared" si="5"/>
        <v>0</v>
      </c>
      <c r="M78" s="100">
        <f>SUM(G78:L78)</f>
        <v>0</v>
      </c>
    </row>
    <row r="79" spans="1:13" ht="16.5">
      <c r="A79" s="86"/>
      <c r="B79" s="86"/>
      <c r="C79" s="98"/>
      <c r="D79" s="86"/>
      <c r="E79" s="86"/>
      <c r="F79" s="99" t="s">
        <v>34</v>
      </c>
      <c r="G79" s="103" t="s">
        <v>37</v>
      </c>
      <c r="H79" s="103"/>
      <c r="I79" s="103" t="s">
        <v>37</v>
      </c>
      <c r="J79" s="103" t="s">
        <v>37</v>
      </c>
      <c r="K79" s="103" t="s">
        <v>37</v>
      </c>
      <c r="L79" s="103" t="s">
        <v>37</v>
      </c>
      <c r="M79" s="100">
        <f>SUM(G79:L79)</f>
        <v>0</v>
      </c>
    </row>
    <row r="80" spans="1:13" ht="16.5">
      <c r="A80" s="86"/>
      <c r="B80" s="86"/>
      <c r="C80" s="98"/>
      <c r="D80" s="86"/>
      <c r="E80" s="86"/>
      <c r="F80" s="99" t="s">
        <v>45</v>
      </c>
      <c r="G80" s="103" t="s">
        <v>37</v>
      </c>
      <c r="H80" s="104"/>
      <c r="I80" s="103" t="s">
        <v>37</v>
      </c>
      <c r="J80" s="103" t="s">
        <v>37</v>
      </c>
      <c r="K80" s="103" t="s">
        <v>37</v>
      </c>
      <c r="L80" s="103" t="s">
        <v>37</v>
      </c>
      <c r="M80" s="100">
        <f>SUM(G80:L80)</f>
        <v>0</v>
      </c>
    </row>
    <row r="81" spans="1:13" ht="17.25" thickBot="1">
      <c r="A81" s="86"/>
      <c r="B81" s="86"/>
      <c r="C81" s="98"/>
      <c r="D81" s="86"/>
      <c r="E81" s="86"/>
      <c r="F81" s="105" t="s">
        <v>35</v>
      </c>
      <c r="G81" s="106">
        <f aca="true" t="shared" si="6" ref="G81:L81">SUM(G78:G80)</f>
        <v>0</v>
      </c>
      <c r="H81" s="106">
        <f t="shared" si="6"/>
        <v>0</v>
      </c>
      <c r="I81" s="106">
        <f t="shared" si="6"/>
        <v>0</v>
      </c>
      <c r="J81" s="106">
        <f t="shared" si="6"/>
        <v>0</v>
      </c>
      <c r="K81" s="106">
        <f t="shared" si="6"/>
        <v>0</v>
      </c>
      <c r="L81" s="106">
        <f t="shared" si="6"/>
        <v>0</v>
      </c>
      <c r="M81" s="107">
        <f>SUM(G81:L81)</f>
        <v>0</v>
      </c>
    </row>
    <row r="82" spans="1:13" ht="16.5">
      <c r="A82" s="86"/>
      <c r="B82" s="86"/>
      <c r="C82" s="86"/>
      <c r="D82" s="86"/>
      <c r="E82" s="86"/>
      <c r="F82" s="86"/>
      <c r="G82" s="88"/>
      <c r="H82" s="88"/>
      <c r="I82" s="88"/>
      <c r="J82" s="88"/>
      <c r="K82" s="88"/>
      <c r="L82" s="88"/>
      <c r="M82" s="8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Ashiwaju</dc:creator>
  <cp:keywords/>
  <dc:description/>
  <cp:lastModifiedBy>Jack Briggs</cp:lastModifiedBy>
  <dcterms:created xsi:type="dcterms:W3CDTF">2014-04-16T10:22:28Z</dcterms:created>
  <dcterms:modified xsi:type="dcterms:W3CDTF">2017-03-14T14:09:39Z</dcterms:modified>
  <cp:category/>
  <cp:version/>
  <cp:contentType/>
  <cp:contentStatus/>
</cp:coreProperties>
</file>